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65" windowWidth="15600" windowHeight="11025" tabRatio="802"/>
  </bookViews>
  <sheets>
    <sheet name="1. Coleta" sheetId="10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1">'2.Encargos Sociais'!$A$1:$C$34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0" i="10" l="1"/>
  <c r="F82" i="10"/>
  <c r="C74" i="10"/>
  <c r="D74" i="10"/>
  <c r="E74" i="10"/>
  <c r="C75" i="10"/>
  <c r="D75" i="10"/>
  <c r="E75" i="10"/>
  <c r="F76" i="10"/>
  <c r="F87" i="10"/>
  <c r="F89" i="10"/>
  <c r="E220" i="10"/>
  <c r="F220" i="10"/>
  <c r="F222" i="10"/>
  <c r="F233" i="10"/>
  <c r="D238" i="10"/>
  <c r="E238" i="10"/>
  <c r="F239" i="10"/>
  <c r="F241" i="10"/>
  <c r="F244" i="10"/>
  <c r="F245" i="10"/>
  <c r="G246" i="10"/>
  <c r="H246" i="10"/>
  <c r="F201" i="10"/>
  <c r="H228" i="10"/>
  <c r="G228" i="10"/>
  <c r="E227" i="10"/>
  <c r="D228" i="10"/>
  <c r="F229" i="10"/>
  <c r="G227" i="10"/>
  <c r="C149" i="10"/>
  <c r="I9" i="10"/>
  <c r="C80" i="10"/>
  <c r="E80" i="10"/>
  <c r="I137" i="10"/>
  <c r="I136" i="10"/>
  <c r="I135" i="10"/>
  <c r="I134" i="10"/>
  <c r="I132" i="10"/>
  <c r="I131" i="10"/>
  <c r="E130" i="10"/>
  <c r="D133" i="10"/>
  <c r="E133" i="10"/>
  <c r="H80" i="10"/>
  <c r="H81" i="10"/>
  <c r="H82" i="10"/>
  <c r="E135" i="10"/>
  <c r="D138" i="10"/>
  <c r="E138" i="10"/>
  <c r="D139" i="10"/>
  <c r="E139" i="10"/>
  <c r="D134" i="10"/>
  <c r="E134" i="10"/>
  <c r="E140" i="10"/>
  <c r="D141" i="10"/>
  <c r="E141" i="10"/>
  <c r="F142" i="10"/>
  <c r="C153" i="10"/>
  <c r="C152" i="10"/>
  <c r="D155" i="10"/>
  <c r="E155" i="10"/>
  <c r="C148" i="10"/>
  <c r="D150" i="10"/>
  <c r="E150" i="10"/>
  <c r="E156" i="10"/>
  <c r="D157" i="10"/>
  <c r="E157" i="10"/>
  <c r="F158" i="10"/>
  <c r="D162" i="10"/>
  <c r="E162" i="10"/>
  <c r="D165" i="10"/>
  <c r="E165" i="10"/>
  <c r="F166" i="10"/>
  <c r="D174" i="10"/>
  <c r="E174" i="10"/>
  <c r="F184" i="10"/>
  <c r="E196" i="10"/>
  <c r="D197" i="10"/>
  <c r="E197" i="10"/>
  <c r="F198" i="10"/>
  <c r="E13" i="10"/>
  <c r="C81" i="10"/>
  <c r="E81" i="10"/>
  <c r="E86" i="10"/>
  <c r="F53" i="10"/>
  <c r="F68" i="10"/>
  <c r="E216" i="10"/>
  <c r="D217" i="10"/>
  <c r="E217" i="10"/>
  <c r="F107" i="10"/>
  <c r="F120" i="10"/>
  <c r="F122" i="10"/>
  <c r="E24" i="10"/>
  <c r="E6" i="10"/>
  <c r="E22" i="10"/>
  <c r="E12" i="10"/>
  <c r="E25" i="10"/>
  <c r="F6" i="10"/>
  <c r="F12" i="10"/>
  <c r="F13" i="10"/>
  <c r="F21" i="10"/>
  <c r="F22" i="10"/>
  <c r="F24" i="10"/>
  <c r="F23" i="10"/>
  <c r="F25" i="10"/>
  <c r="E23" i="10"/>
  <c r="A23" i="10"/>
  <c r="C86" i="10"/>
  <c r="E30" i="10"/>
  <c r="E31" i="10"/>
  <c r="E44" i="10"/>
  <c r="E57" i="10"/>
  <c r="D59" i="10"/>
  <c r="E59" i="10"/>
  <c r="D60" i="10"/>
  <c r="E60" i="10"/>
  <c r="D61" i="10"/>
  <c r="E61" i="10"/>
  <c r="D63" i="10"/>
  <c r="E63" i="10"/>
  <c r="E64" i="10"/>
  <c r="D65" i="10"/>
  <c r="C65" i="10"/>
  <c r="E65" i="10"/>
  <c r="E66" i="10"/>
  <c r="D67" i="10"/>
  <c r="E67" i="10"/>
  <c r="D45" i="10"/>
  <c r="E45" i="10"/>
  <c r="D46" i="10"/>
  <c r="E46" i="10"/>
  <c r="D47" i="10"/>
  <c r="E47" i="10"/>
  <c r="D48" i="10"/>
  <c r="E48" i="10"/>
  <c r="E49" i="10"/>
  <c r="D50" i="10"/>
  <c r="C50" i="10"/>
  <c r="E50" i="10"/>
  <c r="E51" i="10"/>
  <c r="D52" i="10"/>
  <c r="E52" i="10"/>
  <c r="C106" i="10"/>
  <c r="E96" i="10"/>
  <c r="E97" i="10"/>
  <c r="E98" i="10"/>
  <c r="E99" i="10"/>
  <c r="E100" i="10"/>
  <c r="E101" i="10"/>
  <c r="E102" i="10"/>
  <c r="E103" i="10"/>
  <c r="E104" i="10"/>
  <c r="E105" i="10"/>
  <c r="D106" i="10"/>
  <c r="E106" i="10"/>
  <c r="C119" i="10"/>
  <c r="D112" i="10"/>
  <c r="E112" i="10"/>
  <c r="D113" i="10"/>
  <c r="E113" i="10"/>
  <c r="D114" i="10"/>
  <c r="E114" i="10"/>
  <c r="D115" i="10"/>
  <c r="E115" i="10"/>
  <c r="D116" i="10"/>
  <c r="E116" i="10"/>
  <c r="D117" i="10"/>
  <c r="E117" i="10"/>
  <c r="E118" i="10"/>
  <c r="D119" i="10"/>
  <c r="E119" i="10"/>
  <c r="C133" i="10"/>
  <c r="C134" i="10"/>
  <c r="C138" i="10"/>
  <c r="C135" i="10"/>
  <c r="C139" i="10"/>
  <c r="C157" i="10"/>
  <c r="C162" i="10"/>
  <c r="C163" i="10"/>
  <c r="E163" i="10"/>
  <c r="C164" i="10"/>
  <c r="E164" i="10"/>
  <c r="C174" i="10"/>
  <c r="C176" i="10"/>
  <c r="D176" i="10"/>
  <c r="E176" i="10"/>
  <c r="C178" i="10"/>
  <c r="D178" i="10"/>
  <c r="E178" i="10"/>
  <c r="C180" i="10"/>
  <c r="D180" i="10"/>
  <c r="E180" i="10"/>
  <c r="C182" i="10"/>
  <c r="D182" i="10"/>
  <c r="E182" i="10"/>
  <c r="C188" i="10"/>
  <c r="E188" i="10"/>
  <c r="F189" i="10"/>
  <c r="C197" i="10"/>
  <c r="E193" i="10"/>
  <c r="C195" i="10"/>
  <c r="E195" i="10"/>
  <c r="D196" i="10"/>
  <c r="E206" i="10"/>
  <c r="E207" i="10"/>
  <c r="E208" i="10"/>
  <c r="F209" i="10"/>
  <c r="F211" i="10"/>
  <c r="C216" i="10"/>
  <c r="C218" i="10"/>
  <c r="E218" i="10"/>
  <c r="D219" i="10"/>
  <c r="E219" i="10"/>
  <c r="E228" i="10"/>
  <c r="F231" i="10"/>
  <c r="A80" i="10"/>
  <c r="C12" i="8"/>
  <c r="C20" i="5"/>
  <c r="C22" i="5"/>
  <c r="C23" i="5"/>
  <c r="C14" i="8"/>
  <c r="C15" i="8"/>
  <c r="C20" i="8"/>
  <c r="C29" i="8"/>
  <c r="C28" i="5"/>
  <c r="C21" i="5"/>
  <c r="C22" i="8"/>
  <c r="C30" i="8"/>
  <c r="C31" i="8"/>
  <c r="C23" i="8"/>
  <c r="C24" i="8"/>
  <c r="C25" i="8"/>
  <c r="C26" i="8"/>
  <c r="C27" i="8"/>
  <c r="C32" i="8"/>
  <c r="C9" i="4"/>
  <c r="C14" i="4"/>
  <c r="C238" i="10"/>
  <c r="F249" i="10"/>
  <c r="D183" i="10"/>
  <c r="C151" i="10"/>
  <c r="D151" i="10"/>
  <c r="E151" i="10"/>
  <c r="D146" i="10"/>
  <c r="E146" i="10"/>
  <c r="A81" i="10"/>
  <c r="A86" i="10"/>
  <c r="E35" i="10"/>
  <c r="A35" i="10"/>
  <c r="E32" i="10"/>
  <c r="A31" i="10"/>
  <c r="A30" i="10"/>
  <c r="E21" i="10"/>
  <c r="A24" i="10"/>
  <c r="A22" i="10"/>
  <c r="A21" i="10"/>
  <c r="E20" i="10"/>
  <c r="F20" i="10"/>
  <c r="A20" i="10"/>
  <c r="E19" i="10"/>
  <c r="F19" i="10"/>
  <c r="A19" i="10"/>
  <c r="E18" i="10"/>
  <c r="F18" i="10"/>
  <c r="A18" i="10"/>
  <c r="E17" i="10"/>
  <c r="F17" i="10"/>
  <c r="A17" i="10"/>
  <c r="E16" i="10"/>
  <c r="F16" i="10"/>
  <c r="A16" i="10"/>
  <c r="E15" i="10"/>
  <c r="F15" i="10"/>
  <c r="A15" i="10"/>
  <c r="E14" i="10"/>
  <c r="F14" i="10"/>
  <c r="A14" i="10"/>
  <c r="A13" i="10"/>
  <c r="A12" i="10"/>
  <c r="E11" i="10"/>
  <c r="F11" i="10"/>
  <c r="A11" i="10"/>
  <c r="E10" i="10"/>
  <c r="F10" i="10"/>
  <c r="A10" i="10"/>
  <c r="E9" i="10"/>
  <c r="F9" i="10"/>
  <c r="A9" i="10"/>
  <c r="E8" i="10"/>
  <c r="F8" i="10"/>
  <c r="A8" i="10"/>
  <c r="E7" i="10"/>
  <c r="F7" i="10"/>
  <c r="A7" i="10"/>
  <c r="A6" i="10"/>
  <c r="C21" i="9"/>
  <c r="C18" i="5"/>
  <c r="C13" i="9"/>
  <c r="C14" i="9"/>
  <c r="C15" i="9"/>
  <c r="C17" i="9"/>
  <c r="C22" i="9"/>
  <c r="C24" i="9"/>
  <c r="F7" i="4"/>
  <c r="E7" i="4"/>
  <c r="D7" i="4"/>
</calcChain>
</file>

<file path=xl/comments1.xml><?xml version="1.0" encoding="utf-8"?>
<comments xmlns="http://schemas.openxmlformats.org/spreadsheetml/2006/main">
  <authors>
    <author>cbridi</author>
    <author>Clauber Bridi</author>
    <author>Omar</author>
  </authors>
  <commentList>
    <comment ref="C12" author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<sst xmlns="http://schemas.openxmlformats.org/spreadsheetml/2006/main" count="509" uniqueCount="304">
  <si>
    <t>hora</t>
  </si>
  <si>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</si>
  <si>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</si>
  <si>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</si>
  <si>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</si>
  <si>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</si>
  <si>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</si>
  <si>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</si>
  <si>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</si>
  <si>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</si>
  <si>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</si>
  <si>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</si>
  <si>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</si>
  <si>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</si>
  <si>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</si>
  <si>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</si>
  <si>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</si>
  <si>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</si>
  <si>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</si>
  <si>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</si>
  <si>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</si>
  <si>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</si>
  <si>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</si>
  <si>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</si>
  <si>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</si>
  <si>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</si>
  <si>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</si>
  <si>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</si>
  <si>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</si>
  <si>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</si>
  <si>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</si>
  <si>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</si>
  <si>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</si>
  <si>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</si>
  <si>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</si>
  <si>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</si>
  <si>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</si>
  <si>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</si>
  <si>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</si>
  <si>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</si>
  <si>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</si>
  <si>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</si>
  <si>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</si>
  <si>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</si>
  <si>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</si>
  <si>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</si>
  <si>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</si>
  <si>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</si>
  <si>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</si>
  <si>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</si>
  <si>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</si>
  <si>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</si>
  <si>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</si>
  <si>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</si>
  <si>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</si>
  <si>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</si>
  <si>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</si>
  <si>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cj</t>
  </si>
  <si>
    <t>Total de mão-de-obra (postos de trabalho)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</si>
  <si>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</si>
  <si>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</si>
  <si>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</si>
  <si>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</si>
  <si>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</si>
  <si>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</si>
  <si>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</si>
  <si>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</si>
  <si>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</si>
  <si>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</si>
  <si>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</si>
  <si>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</si>
  <si>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</si>
  <si>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</si>
  <si>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</si>
  <si>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</si>
  <si>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</si>
  <si>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</si>
  <si>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</si>
  <si>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</si>
  <si>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</si>
  <si>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</si>
  <si>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</si>
  <si>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</si>
  <si>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</si>
  <si>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</si>
  <si>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</si>
  <si>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</si>
  <si>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</si>
  <si>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</si>
  <si>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</si>
  <si>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Vale Transporte</t>
  </si>
  <si>
    <t>Dias Trabalhados por mês</t>
  </si>
  <si>
    <t>dia</t>
  </si>
  <si>
    <t>Custo Mensal com Mão-de-obra (R$/mês)</t>
  </si>
  <si>
    <t>Meia de algodão com cano alto</t>
  </si>
  <si>
    <t>Custo do jogo de pneus xxx/xx Rxx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</si>
  <si>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</rPr>
      <t xml:space="preserve"> recap./ km rodado</t>
    </r>
  </si>
  <si>
    <t>Quantitativos</t>
  </si>
  <si>
    <t>1.1. Coletor Turno Dia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</si>
  <si>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</si>
  <si>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</si>
  <si>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</si>
  <si>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</si>
  <si>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</si>
  <si>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</si>
  <si>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</si>
  <si>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</si>
  <si>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</si>
  <si>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</si>
  <si>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</si>
  <si>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</si>
  <si>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</si>
  <si>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</si>
  <si>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</si>
  <si>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</si>
  <si>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</si>
  <si>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</si>
  <si>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</si>
  <si>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</si>
  <si>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</si>
  <si>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</si>
  <si>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</si>
  <si>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</si>
  <si>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</si>
  <si>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</si>
  <si>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</si>
  <si>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</si>
  <si>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</si>
  <si>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</si>
  <si>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</si>
  <si>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</si>
  <si>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</si>
  <si>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</si>
  <si>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</si>
  <si>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</si>
  <si>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</si>
  <si>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</si>
  <si>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</si>
  <si>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</si>
  <si>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</si>
  <si>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</si>
  <si>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</si>
  <si>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</si>
  <si>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</si>
  <si>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</si>
  <si>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</si>
  <si>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</si>
  <si>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</si>
  <si>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</si>
  <si>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</si>
  <si>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</si>
  <si>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</si>
  <si>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</si>
  <si>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</si>
  <si>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</si>
  <si>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</si>
  <si>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</si>
  <si>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</si>
  <si>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</si>
  <si>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</si>
  <si>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</si>
  <si>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</si>
  <si>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</si>
  <si>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</si>
  <si>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</si>
  <si>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</si>
  <si>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</si>
  <si>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</si>
  <si>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</si>
  <si>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</si>
  <si>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</si>
  <si>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</si>
  <si>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</si>
  <si>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</si>
  <si>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</si>
  <si>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</si>
  <si>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</si>
  <si>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</si>
  <si>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</si>
  <si>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</si>
  <si>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</si>
  <si>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</si>
  <si>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</si>
  <si>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</si>
  <si>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</si>
  <si>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</si>
  <si>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</si>
  <si>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</si>
  <si>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</si>
  <si>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</si>
  <si>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</si>
  <si>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</si>
  <si>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</si>
  <si>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</si>
  <si>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</si>
  <si>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</si>
  <si>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</si>
  <si>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</si>
  <si>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</si>
  <si>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</si>
  <si>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</si>
  <si>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Rio Grande do Sul  - Coleta de Resíduos Não-Perigosos - CNAE 38114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</si>
  <si>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</si>
  <si>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</si>
  <si>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</si>
  <si>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</si>
  <si>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</si>
  <si>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</si>
  <si>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</si>
  <si>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</si>
  <si>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Descanso Semanal Remunerado (DSR) - hora extra</t>
  </si>
  <si>
    <t>C2</t>
  </si>
  <si>
    <t>B3</t>
  </si>
  <si>
    <t xml:space="preserve">1. Coleta de Resíduos Sólidos 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</si>
  <si>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</si>
  <si>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</si>
  <si>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</si>
  <si>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</si>
  <si>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</si>
  <si>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</si>
  <si>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</si>
  <si>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</si>
  <si>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</si>
  <si>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</si>
  <si>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</si>
  <si>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</si>
  <si>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</si>
  <si>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</si>
  <si>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</si>
  <si>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</si>
  <si>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</si>
  <si>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</si>
  <si>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</si>
  <si>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</si>
  <si>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</si>
  <si>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</si>
  <si>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1/3 de férias (dias)</t>
  </si>
  <si>
    <t>Férias (dias)</t>
  </si>
  <si>
    <t>13º Salário (dias)</t>
  </si>
  <si>
    <t>Referência estudo TCE</t>
  </si>
  <si>
    <t>Rotatividade temporal (meses)</t>
  </si>
  <si>
    <t>Fórmula de cálculo da remuneração de capital: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</si>
  <si>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</si>
  <si>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</si>
  <si>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</si>
  <si>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</si>
  <si>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</si>
  <si>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</si>
  <si>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</si>
  <si>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</si>
  <si>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</si>
  <si>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</si>
  <si>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</si>
  <si>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</si>
  <si>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</si>
  <si>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</si>
  <si>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</si>
  <si>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</si>
  <si>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</si>
  <si>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</si>
  <si>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</si>
  <si>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</si>
  <si>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</si>
  <si>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</si>
  <si>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</si>
  <si>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</si>
  <si>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</si>
  <si>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</si>
  <si>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</si>
  <si>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</si>
  <si>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</si>
  <si>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</si>
  <si>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</si>
  <si>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</si>
  <si>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</si>
  <si>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</si>
  <si>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</si>
  <si>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</si>
  <si>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</si>
  <si>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</si>
  <si>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</si>
  <si>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</si>
  <si>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</si>
  <si>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Variação Emprego Absoluta de 01-01-2019 a 31-12-2019</t>
  </si>
  <si>
    <t>Estoque recuperado início do Período 01-01-2019</t>
  </si>
  <si>
    <t>Estoque recuperado final do Período 31-12-2019</t>
  </si>
  <si>
    <t>Ajustado, de acordo com a nova Lei Federal nº 13.932/2019</t>
  </si>
  <si>
    <t>1.2. Motorista Turno do Dia</t>
  </si>
  <si>
    <t>1.3. Vale Transporte</t>
  </si>
  <si>
    <t>1.4. Vale-refeição (diário)</t>
  </si>
  <si>
    <t>1.5. Auxílio Alimentação (mensal)</t>
  </si>
  <si>
    <t>3.1. Veículo Coletor Compactador 15 m³</t>
  </si>
  <si>
    <t>6. Destinação Final</t>
  </si>
  <si>
    <t>Destinação Final</t>
  </si>
  <si>
    <t>Custo Mensal com Destinação Fibal</t>
  </si>
  <si>
    <t>7. Benefícios e Despesas Indiretas - BDI</t>
  </si>
  <si>
    <t>investimento médio</t>
  </si>
  <si>
    <t>Vo</t>
  </si>
  <si>
    <t>Vr</t>
  </si>
  <si>
    <t>n</t>
  </si>
  <si>
    <t>n+1/2n</t>
  </si>
  <si>
    <t>(Vo-Vr)</t>
  </si>
  <si>
    <t>(Vo-Vr) x n+1/2n</t>
  </si>
  <si>
    <t>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</si>
</sst>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 &quot;#,##0.00_);\(&quot;R$ &quot;#,##0.00\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_-;\-* #,##0_-;_-* &quot;-&quot;?_-;_-@_-"/>
    <numFmt numFmtId="173" formatCode="0.000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Arial"/>
      <family val="2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342">
    <xf numFmtId="0" fontId="0" fillId="0" borderId="0" xfId="0"/>
    <xf numFmtId="0" fontId="6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0" borderId="2" xfId="3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3" applyFont="1" applyAlignment="1">
      <alignment horizontal="center" vertical="center"/>
    </xf>
    <xf numFmtId="164" fontId="3" fillId="2" borderId="4" xfId="3" applyFont="1" applyFill="1" applyBorder="1" applyAlignment="1">
      <alignment horizontal="center" vertical="center"/>
    </xf>
    <xf numFmtId="164" fontId="3" fillId="2" borderId="4" xfId="3" applyFont="1" applyFill="1" applyBorder="1" applyAlignment="1">
      <alignment vertical="center"/>
    </xf>
    <xf numFmtId="164" fontId="3" fillId="0" borderId="0" xfId="3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3" fillId="0" borderId="6" xfId="3" applyFont="1" applyBorder="1" applyAlignment="1">
      <alignment vertical="center"/>
    </xf>
    <xf numFmtId="164" fontId="3" fillId="0" borderId="7" xfId="3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6" fillId="0" borderId="6" xfId="3" applyFont="1" applyBorder="1" applyAlignment="1">
      <alignment vertical="center"/>
    </xf>
    <xf numFmtId="164" fontId="6" fillId="0" borderId="7" xfId="3" applyFont="1" applyBorder="1" applyAlignment="1">
      <alignment vertical="center"/>
    </xf>
    <xf numFmtId="164" fontId="3" fillId="0" borderId="0" xfId="3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3" fillId="0" borderId="0" xfId="3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3" applyFont="1" applyBorder="1" applyAlignment="1">
      <alignment vertical="center"/>
    </xf>
    <xf numFmtId="164" fontId="5" fillId="0" borderId="0" xfId="3" applyFont="1" applyAlignment="1">
      <alignment vertical="center"/>
    </xf>
    <xf numFmtId="166" fontId="6" fillId="0" borderId="1" xfId="3" applyNumberFormat="1" applyFont="1" applyBorder="1" applyAlignment="1">
      <alignment vertical="center"/>
    </xf>
    <xf numFmtId="164" fontId="0" fillId="0" borderId="11" xfId="3" applyFont="1" applyBorder="1" applyAlignment="1">
      <alignment vertical="center"/>
    </xf>
    <xf numFmtId="164" fontId="3" fillId="0" borderId="12" xfId="3" applyFont="1" applyBorder="1" applyAlignment="1">
      <alignment horizontal="center" vertical="center"/>
    </xf>
    <xf numFmtId="164" fontId="3" fillId="0" borderId="5" xfId="3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Continuous" vertical="center"/>
    </xf>
    <xf numFmtId="164" fontId="3" fillId="0" borderId="0" xfId="3" applyFont="1" applyAlignment="1">
      <alignment vertical="center"/>
    </xf>
    <xf numFmtId="164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4" fontId="0" fillId="0" borderId="9" xfId="3" applyFont="1" applyBorder="1" applyAlignment="1">
      <alignment vertical="center"/>
    </xf>
    <xf numFmtId="164" fontId="3" fillId="0" borderId="13" xfId="3" applyFont="1" applyBorder="1" applyAlignment="1">
      <alignment horizontal="right" vertical="center"/>
    </xf>
    <xf numFmtId="164" fontId="0" fillId="0" borderId="14" xfId="3" applyFont="1" applyBorder="1" applyAlignment="1">
      <alignment vertical="center"/>
    </xf>
    <xf numFmtId="164" fontId="6" fillId="0" borderId="1" xfId="3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4" fontId="6" fillId="0" borderId="0" xfId="3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4" fontId="6" fillId="0" borderId="0" xfId="3" applyFont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64" fontId="12" fillId="2" borderId="17" xfId="3" applyFont="1" applyFill="1" applyBorder="1" applyAlignment="1">
      <alignment horizontal="center" vertical="center"/>
    </xf>
    <xf numFmtId="164" fontId="12" fillId="2" borderId="18" xfId="3" applyFont="1" applyFill="1" applyBorder="1" applyAlignment="1">
      <alignment horizontal="center" vertical="center"/>
    </xf>
    <xf numFmtId="164" fontId="3" fillId="0" borderId="19" xfId="3" applyFont="1" applyBorder="1" applyAlignment="1">
      <alignment horizontal="center" vertical="center"/>
    </xf>
    <xf numFmtId="164" fontId="1" fillId="0" borderId="14" xfId="3" applyFont="1" applyBorder="1" applyAlignment="1">
      <alignment horizontal="left" vertical="center"/>
    </xf>
    <xf numFmtId="164" fontId="6" fillId="0" borderId="9" xfId="3" applyFont="1" applyBorder="1" applyAlignment="1">
      <alignment vertical="center"/>
    </xf>
    <xf numFmtId="164" fontId="6" fillId="0" borderId="14" xfId="3" applyFont="1" applyBorder="1" applyAlignment="1">
      <alignment vertical="center"/>
    </xf>
    <xf numFmtId="166" fontId="6" fillId="0" borderId="0" xfId="3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0" xfId="3" applyNumberFormat="1" applyFont="1" applyBorder="1" applyAlignment="1">
      <alignment horizontal="center" vertical="center"/>
    </xf>
    <xf numFmtId="164" fontId="3" fillId="0" borderId="28" xfId="3" applyFont="1" applyBorder="1" applyAlignment="1">
      <alignment vertical="center"/>
    </xf>
    <xf numFmtId="4" fontId="3" fillId="0" borderId="29" xfId="0" applyNumberFormat="1" applyFont="1" applyBorder="1" applyAlignment="1">
      <alignment vertical="center"/>
    </xf>
    <xf numFmtId="164" fontId="6" fillId="0" borderId="19" xfId="3" applyFont="1" applyBorder="1" applyAlignment="1">
      <alignment vertical="center"/>
    </xf>
    <xf numFmtId="164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3" fillId="0" borderId="31" xfId="3" applyNumberFormat="1" applyFont="1" applyBorder="1" applyAlignment="1">
      <alignment horizontal="center" vertical="center"/>
    </xf>
    <xf numFmtId="164" fontId="11" fillId="0" borderId="1" xfId="3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3" fillId="2" borderId="4" xfId="3" applyNumberFormat="1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6" fontId="6" fillId="0" borderId="1" xfId="3" applyNumberFormat="1" applyFont="1" applyBorder="1" applyAlignment="1">
      <alignment horizontal="center" vertical="center"/>
    </xf>
    <xf numFmtId="166" fontId="6" fillId="0" borderId="1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3" applyFont="1" applyBorder="1" applyAlignment="1">
      <alignment horizontal="center" vertical="center"/>
    </xf>
    <xf numFmtId="164" fontId="6" fillId="0" borderId="2" xfId="3" applyFont="1" applyFill="1" applyBorder="1" applyAlignment="1">
      <alignment horizontal="center"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164" fontId="6" fillId="0" borderId="0" xfId="3" applyFont="1" applyFill="1" applyAlignment="1">
      <alignment vertical="center"/>
    </xf>
    <xf numFmtId="164" fontId="3" fillId="0" borderId="1" xfId="3" applyFont="1" applyFill="1" applyBorder="1" applyAlignment="1">
      <alignment horizontal="center" vertical="center"/>
    </xf>
    <xf numFmtId="165" fontId="3" fillId="0" borderId="34" xfId="0" applyNumberFormat="1" applyFont="1" applyBorder="1" applyAlignment="1">
      <alignment vertical="center"/>
    </xf>
    <xf numFmtId="164" fontId="3" fillId="0" borderId="35" xfId="3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3" applyFont="1" applyAlignment="1">
      <alignment horizontal="center" vertical="center"/>
    </xf>
    <xf numFmtId="164" fontId="3" fillId="0" borderId="3" xfId="3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6" fillId="0" borderId="0" xfId="3" applyFont="1" applyAlignment="1">
      <alignment horizontal="right" vertical="center"/>
    </xf>
    <xf numFmtId="164" fontId="3" fillId="2" borderId="7" xfId="3" applyFont="1" applyFill="1" applyBorder="1" applyAlignment="1">
      <alignment horizontal="center" vertical="center"/>
    </xf>
    <xf numFmtId="164" fontId="3" fillId="0" borderId="14" xfId="3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9" xfId="3" applyFont="1" applyBorder="1" applyAlignment="1">
      <alignment vertical="center"/>
    </xf>
    <xf numFmtId="10" fontId="3" fillId="0" borderId="15" xfId="2" applyNumberFormat="1" applyFont="1" applyBorder="1" applyAlignment="1">
      <alignment vertical="center"/>
    </xf>
    <xf numFmtId="164" fontId="3" fillId="0" borderId="38" xfId="3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4" fontId="6" fillId="0" borderId="39" xfId="3" applyFont="1" applyBorder="1" applyAlignment="1">
      <alignment vertical="center"/>
    </xf>
    <xf numFmtId="164" fontId="6" fillId="0" borderId="40" xfId="3" applyFont="1" applyBorder="1" applyAlignment="1">
      <alignment vertical="center"/>
    </xf>
    <xf numFmtId="164" fontId="6" fillId="0" borderId="41" xfId="3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" fontId="6" fillId="0" borderId="37" xfId="3" applyNumberFormat="1" applyFont="1" applyBorder="1" applyAlignment="1">
      <alignment horizontal="center" vertical="center"/>
    </xf>
    <xf numFmtId="164" fontId="3" fillId="0" borderId="14" xfId="3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vertical="center"/>
    </xf>
    <xf numFmtId="9" fontId="3" fillId="0" borderId="18" xfId="2" applyFont="1" applyBorder="1" applyAlignment="1">
      <alignment vertical="center"/>
    </xf>
    <xf numFmtId="10" fontId="6" fillId="0" borderId="15" xfId="2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164" fontId="0" fillId="0" borderId="0" xfId="3" applyFont="1" applyFill="1" applyBorder="1" applyAlignment="1">
      <alignment vertical="center"/>
    </xf>
    <xf numFmtId="164" fontId="0" fillId="0" borderId="39" xfId="3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0" fontId="17" fillId="0" borderId="14" xfId="0" applyFont="1" applyBorder="1"/>
    <xf numFmtId="0" fontId="6" fillId="0" borderId="0" xfId="0" applyFont="1" applyBorder="1"/>
    <xf numFmtId="0" fontId="17" fillId="0" borderId="47" xfId="0" applyFont="1" applyBorder="1"/>
    <xf numFmtId="0" fontId="17" fillId="3" borderId="20" xfId="0" applyFont="1" applyFill="1" applyBorder="1"/>
    <xf numFmtId="0" fontId="17" fillId="0" borderId="23" xfId="0" applyFont="1" applyBorder="1"/>
    <xf numFmtId="0" fontId="17" fillId="0" borderId="48" xfId="0" applyFont="1" applyBorder="1"/>
    <xf numFmtId="0" fontId="17" fillId="0" borderId="20" xfId="0" applyFont="1" applyBorder="1"/>
    <xf numFmtId="0" fontId="17" fillId="0" borderId="28" xfId="0" applyFont="1" applyBorder="1"/>
    <xf numFmtId="2" fontId="18" fillId="6" borderId="1" xfId="0" applyNumberFormat="1" applyFont="1" applyFill="1" applyBorder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2" fontId="18" fillId="6" borderId="36" xfId="0" applyNumberFormat="1" applyFont="1" applyFill="1" applyBorder="1" applyAlignment="1">
      <alignment horizontal="right" vertical="center"/>
    </xf>
    <xf numFmtId="0" fontId="18" fillId="0" borderId="23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0" fontId="18" fillId="0" borderId="20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0" fontId="22" fillId="0" borderId="20" xfId="0" applyNumberFormat="1" applyFont="1" applyBorder="1" applyAlignment="1">
      <alignment horizontal="right" vertical="center"/>
    </xf>
    <xf numFmtId="0" fontId="18" fillId="5" borderId="23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/>
    </xf>
    <xf numFmtId="10" fontId="22" fillId="5" borderId="20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10" fontId="6" fillId="0" borderId="0" xfId="0" applyNumberFormat="1" applyFont="1"/>
    <xf numFmtId="9" fontId="18" fillId="0" borderId="0" xfId="2" applyFont="1" applyBorder="1" applyAlignment="1">
      <alignment horizontal="right" vertical="center"/>
    </xf>
    <xf numFmtId="10" fontId="6" fillId="0" borderId="0" xfId="0" applyNumberFormat="1" applyFont="1" applyBorder="1"/>
    <xf numFmtId="0" fontId="18" fillId="0" borderId="1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8" fillId="8" borderId="24" xfId="0" applyFont="1" applyFill="1" applyBorder="1" applyAlignment="1">
      <alignment horizontal="left" vertical="center"/>
    </xf>
    <xf numFmtId="0" fontId="22" fillId="8" borderId="36" xfId="0" applyFont="1" applyFill="1" applyBorder="1" applyAlignment="1">
      <alignment horizontal="left" vertical="center"/>
    </xf>
    <xf numFmtId="10" fontId="22" fillId="8" borderId="37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/>
    </xf>
    <xf numFmtId="10" fontId="22" fillId="0" borderId="0" xfId="0" applyNumberFormat="1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left" vertical="center"/>
    </xf>
    <xf numFmtId="10" fontId="18" fillId="0" borderId="0" xfId="0" applyNumberFormat="1" applyFont="1" applyFill="1" applyBorder="1" applyAlignment="1">
      <alignment horizontal="right" vertical="center"/>
    </xf>
    <xf numFmtId="0" fontId="18" fillId="4" borderId="0" xfId="0" applyFont="1" applyFill="1" applyBorder="1" applyAlignment="1">
      <alignment horizontal="left" vertical="center"/>
    </xf>
    <xf numFmtId="10" fontId="18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10" fontId="22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justify" vertical="center"/>
    </xf>
    <xf numFmtId="0" fontId="8" fillId="0" borderId="0" xfId="1" applyFont="1" applyBorder="1" applyAlignment="1" applyProtection="1">
      <alignment horizontal="left" vertical="center"/>
    </xf>
    <xf numFmtId="0" fontId="26" fillId="0" borderId="0" xfId="0" applyFont="1" applyBorder="1"/>
    <xf numFmtId="0" fontId="18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49" xfId="0" applyFont="1" applyBorder="1"/>
    <xf numFmtId="0" fontId="5" fillId="3" borderId="50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8" xfId="0" applyFont="1" applyBorder="1"/>
    <xf numFmtId="0" fontId="7" fillId="0" borderId="38" xfId="0" applyFont="1" applyFill="1" applyBorder="1" applyAlignment="1">
      <alignment horizontal="left" vertical="center"/>
    </xf>
    <xf numFmtId="0" fontId="5" fillId="0" borderId="0" xfId="0" applyFont="1" applyBorder="1"/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0" fontId="5" fillId="0" borderId="27" xfId="0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19" fillId="0" borderId="52" xfId="0" applyFont="1" applyBorder="1" applyAlignment="1">
      <alignment horizontal="justify"/>
    </xf>
    <xf numFmtId="0" fontId="19" fillId="0" borderId="53" xfId="0" applyFont="1" applyBorder="1" applyAlignment="1">
      <alignment horizontal="justify"/>
    </xf>
    <xf numFmtId="0" fontId="16" fillId="9" borderId="51" xfId="0" applyFont="1" applyFill="1" applyBorder="1" applyAlignment="1">
      <alignment horizontal="center"/>
    </xf>
    <xf numFmtId="1" fontId="6" fillId="0" borderId="0" xfId="3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6" fillId="0" borderId="10" xfId="3" applyFont="1" applyBorder="1" applyAlignment="1">
      <alignment vertical="center"/>
    </xf>
    <xf numFmtId="164" fontId="3" fillId="0" borderId="7" xfId="3" applyFont="1" applyBorder="1" applyAlignment="1">
      <alignment horizontal="right" vertical="center"/>
    </xf>
    <xf numFmtId="164" fontId="3" fillId="2" borderId="4" xfId="3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164" fontId="3" fillId="0" borderId="11" xfId="3" applyFont="1" applyBorder="1" applyAlignment="1">
      <alignment vertical="center"/>
    </xf>
    <xf numFmtId="164" fontId="3" fillId="0" borderId="5" xfId="3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" xfId="3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7" fontId="6" fillId="0" borderId="2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164" fontId="3" fillId="0" borderId="54" xfId="3" applyFont="1" applyBorder="1" applyAlignment="1">
      <alignment horizontal="center" vertical="center"/>
    </xf>
    <xf numFmtId="164" fontId="3" fillId="0" borderId="54" xfId="3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Fill="1"/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23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170" fontId="23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Fill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6" fillId="0" borderId="1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172" fontId="5" fillId="3" borderId="20" xfId="0" applyNumberFormat="1" applyFont="1" applyFill="1" applyBorder="1"/>
    <xf numFmtId="0" fontId="5" fillId="0" borderId="23" xfId="0" applyFont="1" applyBorder="1" applyAlignment="1">
      <alignment horizontal="right"/>
    </xf>
    <xf numFmtId="4" fontId="29" fillId="0" borderId="0" xfId="0" applyNumberFormat="1" applyFont="1" applyBorder="1" applyAlignment="1">
      <alignment vertical="center"/>
    </xf>
    <xf numFmtId="0" fontId="5" fillId="0" borderId="20" xfId="0" applyFont="1" applyFill="1" applyBorder="1"/>
    <xf numFmtId="0" fontId="1" fillId="0" borderId="2" xfId="0" applyFont="1" applyBorder="1" applyAlignment="1">
      <alignment vertical="center"/>
    </xf>
    <xf numFmtId="169" fontId="7" fillId="0" borderId="20" xfId="0" applyNumberFormat="1" applyFont="1" applyBorder="1"/>
    <xf numFmtId="9" fontId="17" fillId="0" borderId="20" xfId="2" applyFont="1" applyBorder="1"/>
    <xf numFmtId="10" fontId="17" fillId="0" borderId="20" xfId="2" applyNumberFormat="1" applyFont="1" applyBorder="1"/>
    <xf numFmtId="9" fontId="7" fillId="0" borderId="31" xfId="2" applyFont="1" applyBorder="1"/>
    <xf numFmtId="0" fontId="5" fillId="0" borderId="55" xfId="0" applyFont="1" applyBorder="1"/>
    <xf numFmtId="164" fontId="3" fillId="0" borderId="14" xfId="3" applyFont="1" applyBorder="1" applyAlignment="1">
      <alignment horizontal="left" vertical="center"/>
    </xf>
    <xf numFmtId="9" fontId="3" fillId="0" borderId="7" xfId="2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3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3" fillId="0" borderId="9" xfId="3" applyFont="1" applyFill="1" applyBorder="1" applyAlignment="1">
      <alignment horizontal="center" vertical="center"/>
    </xf>
    <xf numFmtId="166" fontId="6" fillId="0" borderId="1" xfId="3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6" fillId="0" borderId="1" xfId="3" applyNumberFormat="1" applyFont="1" applyFill="1" applyBorder="1" applyAlignment="1">
      <alignment horizontal="center" vertical="center"/>
    </xf>
    <xf numFmtId="13" fontId="6" fillId="0" borderId="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" fillId="0" borderId="54" xfId="0" applyFont="1" applyFill="1" applyBorder="1" applyAlignment="1">
      <alignment horizontal="center" vertical="center"/>
    </xf>
    <xf numFmtId="164" fontId="6" fillId="0" borderId="1" xfId="3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7" fontId="6" fillId="0" borderId="1" xfId="3" applyNumberFormat="1" applyFont="1" applyFill="1" applyBorder="1" applyAlignment="1">
      <alignment horizontal="center" vertical="center"/>
    </xf>
    <xf numFmtId="164" fontId="6" fillId="0" borderId="9" xfId="3" applyNumberFormat="1" applyFont="1" applyFill="1" applyBorder="1" applyAlignment="1">
      <alignment vertical="center"/>
    </xf>
    <xf numFmtId="10" fontId="5" fillId="10" borderId="12" xfId="0" applyNumberFormat="1" applyFont="1" applyFill="1" applyBorder="1" applyAlignment="1">
      <alignment horizontal="center" vertical="center"/>
    </xf>
    <xf numFmtId="10" fontId="5" fillId="10" borderId="20" xfId="0" applyNumberFormat="1" applyFont="1" applyFill="1" applyBorder="1" applyAlignment="1">
      <alignment horizontal="center" vertical="center"/>
    </xf>
    <xf numFmtId="10" fontId="5" fillId="10" borderId="37" xfId="0" applyNumberFormat="1" applyFont="1" applyFill="1" applyBorder="1" applyAlignment="1">
      <alignment horizontal="center" vertical="center"/>
    </xf>
    <xf numFmtId="10" fontId="5" fillId="10" borderId="1" xfId="2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8" fontId="3" fillId="0" borderId="3" xfId="0" applyNumberFormat="1" applyFont="1" applyBorder="1" applyAlignment="1">
      <alignment vertical="center"/>
    </xf>
    <xf numFmtId="4" fontId="6" fillId="0" borderId="2" xfId="0" applyNumberFormat="1" applyFont="1" applyFill="1" applyBorder="1" applyAlignment="1">
      <alignment horizontal="center" vertical="center"/>
    </xf>
    <xf numFmtId="167" fontId="6" fillId="0" borderId="2" xfId="3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164" fontId="6" fillId="3" borderId="1" xfId="3" applyFont="1" applyFill="1" applyBorder="1" applyAlignment="1">
      <alignment vertical="center"/>
    </xf>
    <xf numFmtId="173" fontId="0" fillId="0" borderId="0" xfId="0" applyNumberFormat="1"/>
    <xf numFmtId="44" fontId="0" fillId="0" borderId="0" xfId="4" applyFont="1"/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3" fillId="0" borderId="14" xfId="3" applyFont="1" applyBorder="1" applyAlignment="1">
      <alignment horizontal="left" vertical="center"/>
    </xf>
    <xf numFmtId="164" fontId="3" fillId="0" borderId="9" xfId="3" applyFont="1" applyBorder="1" applyAlignment="1">
      <alignment horizontal="left" vertical="center"/>
    </xf>
    <xf numFmtId="0" fontId="16" fillId="7" borderId="25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164" fontId="3" fillId="0" borderId="5" xfId="3" applyFont="1" applyBorder="1" applyAlignment="1">
      <alignment horizontal="center" vertical="center"/>
    </xf>
    <xf numFmtId="164" fontId="3" fillId="0" borderId="6" xfId="3" applyFont="1" applyBorder="1" applyAlignment="1">
      <alignment horizontal="center" vertical="center"/>
    </xf>
    <xf numFmtId="164" fontId="3" fillId="0" borderId="43" xfId="3" applyFont="1" applyBorder="1" applyAlignment="1">
      <alignment horizontal="center" vertical="center"/>
    </xf>
    <xf numFmtId="164" fontId="4" fillId="7" borderId="5" xfId="3" applyFont="1" applyFill="1" applyBorder="1" applyAlignment="1">
      <alignment horizontal="center" vertical="center"/>
    </xf>
    <xf numFmtId="164" fontId="4" fillId="7" borderId="6" xfId="3" applyFont="1" applyFill="1" applyBorder="1" applyAlignment="1">
      <alignment horizontal="center" vertical="center"/>
    </xf>
    <xf numFmtId="164" fontId="4" fillId="7" borderId="7" xfId="3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/>
    </xf>
    <xf numFmtId="0" fontId="16" fillId="9" borderId="4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16" fillId="9" borderId="21" xfId="0" applyFont="1" applyFill="1" applyBorder="1" applyAlignment="1">
      <alignment horizontal="center"/>
    </xf>
    <xf numFmtId="0" fontId="16" fillId="9" borderId="22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</cellXfs>
  <cellStyles count="5">
    <cellStyle name="Hiperlink" xfId="1" builtinId="8"/>
    <cellStyle name="Moeda" xfId="4" builtinId="4"/>
    <cellStyle name="Normal" xfId="0" builtinId="0"/>
    <cellStyle name="Porcentagem" xfId="2" builtinId="5"/>
    <cellStyle name="Vírgula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tabSelected="1" topLeftCell="A176" zoomScale="109" workbookViewId="0">
      <selection activeCell="B39" sqref="B39"/>
    </sheetView>
  </sheetViews>
  <sheetFormatPr defaultColWidth="11.42578125" defaultRowHeight="12.75" x14ac:dyDescent="0.2"/>
  <cols>
    <col min="1" max="1" width="55.140625" bestFit="1" customWidth="1"/>
    <col min="2" max="2" width="14.7109375" bestFit="1" customWidth="1"/>
    <col min="3" max="3" width="11.140625" bestFit="1" customWidth="1"/>
    <col min="4" max="4" width="15.85546875" bestFit="1" customWidth="1"/>
    <col min="5" max="5" width="14.42578125" bestFit="1" customWidth="1"/>
    <col min="6" max="6" width="12.7109375" customWidth="1"/>
    <col min="8" max="8" width="15.5703125" bestFit="1" customWidth="1"/>
  </cols>
  <sheetData>
    <row r="1" spans="1:9" ht="18" x14ac:dyDescent="0.2">
      <c r="A1" s="312" t="s">
        <v>213</v>
      </c>
      <c r="B1" s="313"/>
      <c r="C1" s="313"/>
      <c r="D1" s="313"/>
      <c r="E1" s="313"/>
      <c r="F1" s="314"/>
    </row>
    <row r="2" spans="1:9" ht="15" x14ac:dyDescent="0.2">
      <c r="A2" s="315" t="s">
        <v>43</v>
      </c>
      <c r="B2" s="316"/>
      <c r="C2" s="316"/>
      <c r="D2" s="316"/>
      <c r="E2" s="316"/>
      <c r="F2" s="317"/>
    </row>
    <row r="3" spans="1:9" ht="13.5" thickBot="1" x14ac:dyDescent="0.25">
      <c r="A3" s="121"/>
      <c r="B3" s="122"/>
      <c r="C3" s="122"/>
      <c r="D3" s="123"/>
      <c r="E3" s="123"/>
      <c r="F3" s="124"/>
    </row>
    <row r="4" spans="1:9" ht="16.5" thickBot="1" x14ac:dyDescent="0.25">
      <c r="A4" s="321" t="s">
        <v>199</v>
      </c>
      <c r="B4" s="322"/>
      <c r="C4" s="322"/>
      <c r="D4" s="322"/>
      <c r="E4" s="322"/>
      <c r="F4" s="323"/>
    </row>
    <row r="5" spans="1:9" x14ac:dyDescent="0.2">
      <c r="A5" s="58" t="s">
        <v>198</v>
      </c>
      <c r="B5" s="35"/>
      <c r="C5" s="35"/>
      <c r="D5" s="225"/>
      <c r="E5" s="90" t="s">
        <v>38</v>
      </c>
      <c r="F5" s="36" t="s">
        <v>2</v>
      </c>
    </row>
    <row r="6" spans="1:9" x14ac:dyDescent="0.2">
      <c r="A6" s="99" t="str">
        <f>A40</f>
        <v>1. Mão-de-obra</v>
      </c>
      <c r="B6" s="100"/>
      <c r="C6" s="101"/>
      <c r="D6" s="101"/>
      <c r="E6" s="222">
        <f>+F89</f>
        <v>10475.465900655212</v>
      </c>
      <c r="F6" s="102">
        <f t="shared" ref="F6:F24" si="0">IFERROR(E6/$E$25,0)</f>
        <v>0.17887101706604203</v>
      </c>
    </row>
    <row r="7" spans="1:9" x14ac:dyDescent="0.2">
      <c r="A7" s="44" t="str">
        <f>A42</f>
        <v>1.1. Coletor Turno Dia</v>
      </c>
      <c r="B7" s="40"/>
      <c r="C7" s="42"/>
      <c r="D7" s="42"/>
      <c r="E7" s="223">
        <f>F53</f>
        <v>6661.629307384128</v>
      </c>
      <c r="F7" s="52">
        <f t="shared" si="0"/>
        <v>0.11374887005781981</v>
      </c>
    </row>
    <row r="8" spans="1:9" x14ac:dyDescent="0.2">
      <c r="A8" s="44" t="str">
        <f>A55</f>
        <v>1.2. Motorista Turno do Dia</v>
      </c>
      <c r="B8" s="40"/>
      <c r="C8" s="42"/>
      <c r="D8" s="42"/>
      <c r="E8" s="223">
        <f>F68</f>
        <v>2765.9738449633919</v>
      </c>
      <c r="F8" s="52">
        <f t="shared" si="0"/>
        <v>4.7229646826087927E-2</v>
      </c>
    </row>
    <row r="9" spans="1:9" x14ac:dyDescent="0.2">
      <c r="A9" s="44" t="str">
        <f>A70</f>
        <v>1.3. Vale Transporte</v>
      </c>
      <c r="B9" s="40"/>
      <c r="C9" s="42"/>
      <c r="D9" s="42"/>
      <c r="E9" s="223">
        <f>F76</f>
        <v>195.39813230769226</v>
      </c>
      <c r="F9" s="52">
        <f t="shared" si="0"/>
        <v>3.3364685628441467E-3</v>
      </c>
      <c r="I9" s="306">
        <f>3/5</f>
        <v>0.6</v>
      </c>
    </row>
    <row r="10" spans="1:9" x14ac:dyDescent="0.2">
      <c r="A10" s="44" t="str">
        <f>A78</f>
        <v>1.4. Vale-refeição (diário)</v>
      </c>
      <c r="B10" s="40"/>
      <c r="C10" s="42"/>
      <c r="D10" s="42"/>
      <c r="E10" s="223">
        <f>F82</f>
        <v>794.12061600000004</v>
      </c>
      <c r="F10" s="52">
        <f t="shared" si="0"/>
        <v>1.3559794247256084E-2</v>
      </c>
    </row>
    <row r="11" spans="1:9" x14ac:dyDescent="0.2">
      <c r="A11" s="44" t="str">
        <f>A84</f>
        <v>1.5. Auxílio Alimentação (mensal)</v>
      </c>
      <c r="B11" s="40"/>
      <c r="C11" s="42"/>
      <c r="D11" s="42"/>
      <c r="E11" s="223">
        <f>F87</f>
        <v>58.343999999999994</v>
      </c>
      <c r="F11" s="52">
        <f t="shared" si="0"/>
        <v>9.9623737203405989E-4</v>
      </c>
    </row>
    <row r="12" spans="1:9" x14ac:dyDescent="0.2">
      <c r="A12" s="310" t="str">
        <f>A91</f>
        <v>2. Uniformes e Equipamentos de Proteção Individual</v>
      </c>
      <c r="B12" s="311"/>
      <c r="C12" s="311"/>
      <c r="D12" s="101"/>
      <c r="E12" s="222">
        <f>+F122</f>
        <v>486.428</v>
      </c>
      <c r="F12" s="102">
        <f t="shared" si="0"/>
        <v>8.3058712533213997E-3</v>
      </c>
    </row>
    <row r="13" spans="1:9" x14ac:dyDescent="0.2">
      <c r="A13" s="110" t="str">
        <f>A124</f>
        <v>3. Veículos e Equipamentos</v>
      </c>
      <c r="B13" s="111"/>
      <c r="C13" s="101"/>
      <c r="D13" s="101"/>
      <c r="E13" s="222">
        <f>+F201</f>
        <v>21145.450999999997</v>
      </c>
      <c r="F13" s="102">
        <f t="shared" si="0"/>
        <v>0.3610634946989405</v>
      </c>
    </row>
    <row r="14" spans="1:9" x14ac:dyDescent="0.2">
      <c r="A14" s="59" t="str">
        <f>A126</f>
        <v>3.1. Veículo Coletor Compactador 15 m³</v>
      </c>
      <c r="B14" s="41"/>
      <c r="C14" s="42"/>
      <c r="D14" s="42"/>
      <c r="E14" s="223">
        <f>SUM(E15:E20)</f>
        <v>21145.450999999997</v>
      </c>
      <c r="F14" s="114">
        <f t="shared" si="0"/>
        <v>0.3610634946989405</v>
      </c>
    </row>
    <row r="15" spans="1:9" x14ac:dyDescent="0.2">
      <c r="A15" s="59" t="str">
        <f>A128</f>
        <v>3.1.1. Depreciação</v>
      </c>
      <c r="B15" s="41"/>
      <c r="C15" s="42"/>
      <c r="D15" s="42"/>
      <c r="E15" s="223">
        <f>F142</f>
        <v>1632.7590000000002</v>
      </c>
      <c r="F15" s="114">
        <f t="shared" si="0"/>
        <v>2.7879739738875635E-2</v>
      </c>
    </row>
    <row r="16" spans="1:9" x14ac:dyDescent="0.2">
      <c r="A16" s="59" t="str">
        <f>A144</f>
        <v>3.1.2. Remuneração do Capital</v>
      </c>
      <c r="B16" s="41"/>
      <c r="C16" s="42"/>
      <c r="D16" s="42"/>
      <c r="E16" s="223">
        <f>F158</f>
        <v>1264.9929999999999</v>
      </c>
      <c r="F16" s="114">
        <f t="shared" si="0"/>
        <v>2.1600049738816015E-2</v>
      </c>
    </row>
    <row r="17" spans="1:6" x14ac:dyDescent="0.2">
      <c r="A17" s="59" t="str">
        <f>A160</f>
        <v>3.1.3. Impostos e Seguros</v>
      </c>
      <c r="B17" s="41"/>
      <c r="C17" s="42"/>
      <c r="D17" s="42"/>
      <c r="E17" s="223">
        <f>F166</f>
        <v>349.25</v>
      </c>
      <c r="F17" s="114">
        <f t="shared" si="0"/>
        <v>5.9635249928509434E-3</v>
      </c>
    </row>
    <row r="18" spans="1:6" x14ac:dyDescent="0.2">
      <c r="A18" s="59" t="str">
        <f>A168</f>
        <v>3.1.4. Consumos</v>
      </c>
      <c r="B18" s="41"/>
      <c r="C18" s="42"/>
      <c r="D18" s="42"/>
      <c r="E18" s="223">
        <f>F184</f>
        <v>13400.648999999999</v>
      </c>
      <c r="F18" s="114">
        <f t="shared" si="0"/>
        <v>0.22881919894609307</v>
      </c>
    </row>
    <row r="19" spans="1:6" x14ac:dyDescent="0.2">
      <c r="A19" s="59" t="str">
        <f>A186</f>
        <v>3.1.5. Manutenção</v>
      </c>
      <c r="B19" s="41"/>
      <c r="C19" s="42"/>
      <c r="D19" s="42"/>
      <c r="E19" s="223">
        <f>F189</f>
        <v>3612</v>
      </c>
      <c r="F19" s="114">
        <f t="shared" si="0"/>
        <v>6.1675740226707541E-2</v>
      </c>
    </row>
    <row r="20" spans="1:6" x14ac:dyDescent="0.2">
      <c r="A20" s="59" t="str">
        <f>A191</f>
        <v>3.1.6. Pneus</v>
      </c>
      <c r="B20" s="41"/>
      <c r="C20" s="42"/>
      <c r="D20" s="42"/>
      <c r="E20" s="223">
        <f>F198</f>
        <v>885.8</v>
      </c>
      <c r="F20" s="114">
        <f t="shared" si="0"/>
        <v>1.5125241055597325E-2</v>
      </c>
    </row>
    <row r="21" spans="1:6" x14ac:dyDescent="0.2">
      <c r="A21" s="110" t="str">
        <f>A203</f>
        <v>4. Ferramentas e Materiais de Consumo</v>
      </c>
      <c r="B21" s="111"/>
      <c r="C21" s="101"/>
      <c r="D21" s="101"/>
      <c r="E21" s="222">
        <f>+F211</f>
        <v>45.163333333333327</v>
      </c>
      <c r="F21" s="102">
        <f t="shared" si="0"/>
        <v>7.7117442260212291E-4</v>
      </c>
    </row>
    <row r="22" spans="1:6" x14ac:dyDescent="0.2">
      <c r="A22" s="110" t="str">
        <f>A213</f>
        <v>5. Monitoramento da Frota</v>
      </c>
      <c r="B22" s="111"/>
      <c r="C22" s="101"/>
      <c r="D22" s="101"/>
      <c r="E22" s="222">
        <f>+F222</f>
        <v>54.9</v>
      </c>
      <c r="F22" s="102">
        <f t="shared" si="0"/>
        <v>9.3743027088766446E-4</v>
      </c>
    </row>
    <row r="23" spans="1:6" x14ac:dyDescent="0.2">
      <c r="A23" s="273" t="str">
        <f>A224</f>
        <v>6. Destinação Final</v>
      </c>
      <c r="B23" s="111"/>
      <c r="C23" s="101"/>
      <c r="D23" s="101"/>
      <c r="E23" s="299">
        <f>F231</f>
        <v>13100</v>
      </c>
      <c r="F23" s="102">
        <f t="shared" si="0"/>
        <v>0.22368554733385071</v>
      </c>
    </row>
    <row r="24" spans="1:6" ht="13.5" thickBot="1" x14ac:dyDescent="0.25">
      <c r="A24" s="110" t="str">
        <f>A235</f>
        <v>7. Benefícios e Despesas Indiretas - BDI</v>
      </c>
      <c r="B24" s="111"/>
      <c r="C24" s="101"/>
      <c r="D24" s="101"/>
      <c r="E24" s="224">
        <f>+F241</f>
        <v>13256.94764926505</v>
      </c>
      <c r="F24" s="102">
        <f t="shared" si="0"/>
        <v>0.22636546495435558</v>
      </c>
    </row>
    <row r="25" spans="1:6" ht="13.5" thickBot="1" x14ac:dyDescent="0.25">
      <c r="A25" s="37" t="s">
        <v>234</v>
      </c>
      <c r="B25" s="38"/>
      <c r="C25" s="23"/>
      <c r="D25" s="23"/>
      <c r="E25" s="89">
        <f>E6+E12+E13+E21+E22+E24+E23</f>
        <v>58564.355883253593</v>
      </c>
      <c r="F25" s="113">
        <f>F6+F12+F13+F21+F22+F24+F23</f>
        <v>1</v>
      </c>
    </row>
    <row r="26" spans="1:6" x14ac:dyDescent="0.2">
      <c r="A26" s="7"/>
      <c r="B26" s="7"/>
      <c r="C26" s="7"/>
      <c r="D26" s="8"/>
      <c r="E26" s="8"/>
      <c r="F26" s="8"/>
    </row>
    <row r="27" spans="1:6" ht="13.5" thickBot="1" x14ac:dyDescent="0.25">
      <c r="A27" s="7"/>
      <c r="B27" s="7"/>
      <c r="C27" s="7"/>
      <c r="D27" s="8"/>
      <c r="E27" s="8"/>
      <c r="F27" s="8"/>
    </row>
    <row r="28" spans="1:6" ht="16.5" thickBot="1" x14ac:dyDescent="0.25">
      <c r="A28" s="321" t="s">
        <v>97</v>
      </c>
      <c r="B28" s="322"/>
      <c r="C28" s="322"/>
      <c r="D28" s="322"/>
      <c r="E28" s="323"/>
      <c r="F28" s="8"/>
    </row>
    <row r="29" spans="1:6" ht="13.5" thickBot="1" x14ac:dyDescent="0.25">
      <c r="A29" s="318" t="s">
        <v>39</v>
      </c>
      <c r="B29" s="319"/>
      <c r="C29" s="319"/>
      <c r="D29" s="320"/>
      <c r="E29" s="43" t="s">
        <v>40</v>
      </c>
      <c r="F29" s="8"/>
    </row>
    <row r="30" spans="1:6" x14ac:dyDescent="0.2">
      <c r="A30" s="67" t="str">
        <f>+A42</f>
        <v>1.1. Coletor Turno Dia</v>
      </c>
      <c r="B30" s="68"/>
      <c r="C30" s="68"/>
      <c r="D30" s="69"/>
      <c r="E30" s="70">
        <f>C52</f>
        <v>3</v>
      </c>
      <c r="F30" s="8"/>
    </row>
    <row r="31" spans="1:6" x14ac:dyDescent="0.2">
      <c r="A31" s="61" t="str">
        <f>+A55</f>
        <v>1.2. Motorista Turno do Dia</v>
      </c>
      <c r="B31" s="60"/>
      <c r="C31" s="60"/>
      <c r="D31" s="71"/>
      <c r="E31" s="64">
        <f>C67</f>
        <v>1</v>
      </c>
      <c r="F31" s="8"/>
    </row>
    <row r="32" spans="1:6" ht="13.5" thickBot="1" x14ac:dyDescent="0.25">
      <c r="A32" s="65" t="s">
        <v>58</v>
      </c>
      <c r="B32" s="66"/>
      <c r="C32" s="66"/>
      <c r="D32" s="72"/>
      <c r="E32" s="73">
        <f>SUM(E30:E31)</f>
        <v>4</v>
      </c>
      <c r="F32" s="8"/>
    </row>
    <row r="33" spans="1:6" ht="13.5" thickBot="1" x14ac:dyDescent="0.25">
      <c r="A33" s="103"/>
      <c r="B33" s="104"/>
      <c r="C33" s="53"/>
      <c r="D33" s="53"/>
      <c r="E33" s="105"/>
      <c r="F33" s="8"/>
    </row>
    <row r="34" spans="1:6" x14ac:dyDescent="0.2">
      <c r="A34" s="308" t="s">
        <v>56</v>
      </c>
      <c r="B34" s="309"/>
      <c r="C34" s="309"/>
      <c r="D34" s="309"/>
      <c r="E34" s="43" t="s">
        <v>40</v>
      </c>
      <c r="F34" s="7"/>
    </row>
    <row r="35" spans="1:6" ht="13.5" thickBot="1" x14ac:dyDescent="0.25">
      <c r="A35" s="106" t="str">
        <f>+A126</f>
        <v>3.1. Veículo Coletor Compactador 15 m³</v>
      </c>
      <c r="B35" s="107"/>
      <c r="C35" s="107"/>
      <c r="D35" s="108"/>
      <c r="E35" s="109">
        <f>C141</f>
        <v>1</v>
      </c>
      <c r="F35" s="7"/>
    </row>
    <row r="36" spans="1:6" x14ac:dyDescent="0.2">
      <c r="A36" s="53"/>
      <c r="B36" s="53"/>
      <c r="C36" s="53"/>
      <c r="D36" s="48"/>
      <c r="E36" s="216"/>
      <c r="F36" s="7"/>
    </row>
    <row r="37" spans="1:6" ht="13.5" thickBot="1" x14ac:dyDescent="0.25">
      <c r="A37" s="53"/>
      <c r="B37" s="53"/>
      <c r="C37" s="53"/>
      <c r="D37" s="48"/>
      <c r="E37" s="62"/>
      <c r="F37" s="7"/>
    </row>
    <row r="38" spans="1:6" ht="13.5" thickBot="1" x14ac:dyDescent="0.25">
      <c r="A38" s="226" t="s">
        <v>193</v>
      </c>
      <c r="B38" s="274">
        <v>0.6</v>
      </c>
      <c r="C38" s="32"/>
      <c r="D38" s="31"/>
      <c r="E38" s="126"/>
      <c r="F38" s="9"/>
    </row>
    <row r="39" spans="1:6" x14ac:dyDescent="0.2">
      <c r="A39" s="53"/>
      <c r="B39" s="53"/>
      <c r="C39" s="53"/>
      <c r="D39" s="48"/>
      <c r="E39" s="62"/>
      <c r="F39" s="7"/>
    </row>
    <row r="40" spans="1:6" x14ac:dyDescent="0.2">
      <c r="A40" s="9" t="s">
        <v>47</v>
      </c>
      <c r="B40" s="7"/>
      <c r="C40" s="7"/>
      <c r="D40" s="8"/>
      <c r="E40" s="8"/>
      <c r="F40" s="8"/>
    </row>
    <row r="41" spans="1:6" x14ac:dyDescent="0.2">
      <c r="A41" s="7"/>
      <c r="B41" s="7"/>
      <c r="C41" s="7"/>
      <c r="D41" s="8"/>
      <c r="E41" s="8"/>
      <c r="F41" s="8"/>
    </row>
    <row r="42" spans="1:6" ht="13.5" thickBot="1" x14ac:dyDescent="0.25">
      <c r="A42" s="7" t="s">
        <v>98</v>
      </c>
      <c r="B42" s="7"/>
      <c r="C42" s="7"/>
      <c r="D42" s="8"/>
      <c r="E42" s="8"/>
      <c r="F42" s="8"/>
    </row>
    <row r="43" spans="1:6" ht="13.5" thickBot="1" x14ac:dyDescent="0.25">
      <c r="A43" s="54" t="s">
        <v>62</v>
      </c>
      <c r="B43" s="55" t="s">
        <v>63</v>
      </c>
      <c r="C43" s="55" t="s">
        <v>40</v>
      </c>
      <c r="D43" s="56" t="s">
        <v>230</v>
      </c>
      <c r="E43" s="56" t="s">
        <v>64</v>
      </c>
      <c r="F43" s="57" t="s">
        <v>65</v>
      </c>
    </row>
    <row r="44" spans="1:6" x14ac:dyDescent="0.2">
      <c r="A44" s="10" t="s">
        <v>208</v>
      </c>
      <c r="B44" s="11" t="s">
        <v>7</v>
      </c>
      <c r="C44" s="238">
        <v>1</v>
      </c>
      <c r="D44" s="84">
        <v>1549.57</v>
      </c>
      <c r="E44" s="12">
        <f>C44*D44</f>
        <v>1549.57</v>
      </c>
      <c r="F44" s="8"/>
    </row>
    <row r="45" spans="1:6" x14ac:dyDescent="0.2">
      <c r="A45" s="13" t="s">
        <v>34</v>
      </c>
      <c r="B45" s="14" t="s">
        <v>0</v>
      </c>
      <c r="C45" s="275"/>
      <c r="D45" s="77">
        <f>D44/220*2</f>
        <v>14.087</v>
      </c>
      <c r="E45" s="15">
        <f>C45*D45</f>
        <v>0</v>
      </c>
      <c r="F45" s="8"/>
    </row>
    <row r="46" spans="1:6" x14ac:dyDescent="0.2">
      <c r="A46" s="13" t="s">
        <v>35</v>
      </c>
      <c r="B46" s="14" t="s">
        <v>0</v>
      </c>
      <c r="C46" s="275"/>
      <c r="D46" s="77">
        <f>D44/220*1.5</f>
        <v>10.565249999999999</v>
      </c>
      <c r="E46" s="15">
        <f>C46*D46</f>
        <v>0</v>
      </c>
      <c r="F46" s="8"/>
    </row>
    <row r="47" spans="1:6" x14ac:dyDescent="0.2">
      <c r="A47" s="13" t="s">
        <v>210</v>
      </c>
      <c r="B47" s="14" t="s">
        <v>33</v>
      </c>
      <c r="C47" s="46"/>
      <c r="D47" s="77">
        <f>63/302*(SUM(E45:E46))</f>
        <v>0</v>
      </c>
      <c r="E47" s="15">
        <f>D47</f>
        <v>0</v>
      </c>
      <c r="F47" s="8"/>
    </row>
    <row r="48" spans="1:6" x14ac:dyDescent="0.2">
      <c r="A48" s="13" t="s">
        <v>1</v>
      </c>
      <c r="B48" s="14" t="s">
        <v>2</v>
      </c>
      <c r="C48" s="239">
        <v>40</v>
      </c>
      <c r="D48" s="77">
        <f>SUM(E44:E47)</f>
        <v>1549.57</v>
      </c>
      <c r="E48" s="15">
        <f>C48*D48/100</f>
        <v>619.82799999999997</v>
      </c>
      <c r="F48" s="8"/>
    </row>
    <row r="49" spans="1:6" x14ac:dyDescent="0.2">
      <c r="A49" s="91" t="s">
        <v>3</v>
      </c>
      <c r="B49" s="92"/>
      <c r="C49" s="276"/>
      <c r="D49" s="277"/>
      <c r="E49" s="94">
        <f>SUM(E44:E48)</f>
        <v>2169.3980000000001</v>
      </c>
      <c r="F49" s="8"/>
    </row>
    <row r="50" spans="1:6" x14ac:dyDescent="0.2">
      <c r="A50" s="13" t="s">
        <v>4</v>
      </c>
      <c r="B50" s="14" t="s">
        <v>2</v>
      </c>
      <c r="C50" s="77">
        <f>'2.Encargos Sociais'!$C$32*100</f>
        <v>70.595951999999997</v>
      </c>
      <c r="D50" s="77">
        <f>E49</f>
        <v>2169.3980000000001</v>
      </c>
      <c r="E50" s="15">
        <f>D50*C50/100</f>
        <v>1531.5071707689599</v>
      </c>
      <c r="F50" s="8"/>
    </row>
    <row r="51" spans="1:6" x14ac:dyDescent="0.2">
      <c r="A51" s="91" t="s">
        <v>72</v>
      </c>
      <c r="B51" s="92"/>
      <c r="C51" s="276"/>
      <c r="D51" s="277"/>
      <c r="E51" s="94">
        <f>E49+E50</f>
        <v>3700.90517076896</v>
      </c>
      <c r="F51" s="8"/>
    </row>
    <row r="52" spans="1:6" ht="13.5" thickBot="1" x14ac:dyDescent="0.25">
      <c r="A52" s="13" t="s">
        <v>5</v>
      </c>
      <c r="B52" s="14" t="s">
        <v>6</v>
      </c>
      <c r="C52" s="239">
        <v>3</v>
      </c>
      <c r="D52" s="77">
        <f>E51</f>
        <v>3700.90517076896</v>
      </c>
      <c r="E52" s="15">
        <f>C52*D52</f>
        <v>11102.715512306881</v>
      </c>
      <c r="F52" s="8"/>
    </row>
    <row r="53" spans="1:6" ht="13.5" thickBot="1" x14ac:dyDescent="0.25">
      <c r="A53" s="7"/>
      <c r="B53" s="7"/>
      <c r="C53" s="7"/>
      <c r="D53" s="97" t="s">
        <v>192</v>
      </c>
      <c r="E53" s="305">
        <v>0.6</v>
      </c>
      <c r="F53" s="98">
        <f>E52*E53</f>
        <v>6661.629307384128</v>
      </c>
    </row>
    <row r="54" spans="1:6" x14ac:dyDescent="0.2">
      <c r="A54" s="7"/>
      <c r="B54" s="7"/>
      <c r="C54" s="7"/>
      <c r="D54" s="8"/>
      <c r="E54" s="8"/>
      <c r="F54" s="8"/>
    </row>
    <row r="55" spans="1:6" ht="13.5" thickBot="1" x14ac:dyDescent="0.25">
      <c r="A55" s="281" t="s">
        <v>287</v>
      </c>
      <c r="B55" s="7"/>
      <c r="C55" s="7"/>
      <c r="D55" s="8"/>
      <c r="E55" s="8"/>
      <c r="F55" s="8"/>
    </row>
    <row r="56" spans="1:6" ht="13.5" thickBot="1" x14ac:dyDescent="0.25">
      <c r="A56" s="54" t="s">
        <v>62</v>
      </c>
      <c r="B56" s="55" t="s">
        <v>63</v>
      </c>
      <c r="C56" s="55" t="s">
        <v>40</v>
      </c>
      <c r="D56" s="56" t="s">
        <v>230</v>
      </c>
      <c r="E56" s="56" t="s">
        <v>64</v>
      </c>
      <c r="F56" s="57" t="s">
        <v>65</v>
      </c>
    </row>
    <row r="57" spans="1:6" x14ac:dyDescent="0.2">
      <c r="A57" s="267" t="s">
        <v>277</v>
      </c>
      <c r="B57" s="11" t="s">
        <v>7</v>
      </c>
      <c r="C57" s="238">
        <v>1</v>
      </c>
      <c r="D57" s="84">
        <v>1930.19</v>
      </c>
      <c r="E57" s="84">
        <f>C57*D57</f>
        <v>1930.19</v>
      </c>
      <c r="F57" s="8"/>
    </row>
    <row r="58" spans="1:6" x14ac:dyDescent="0.2">
      <c r="A58" s="267" t="s">
        <v>278</v>
      </c>
      <c r="B58" s="11" t="s">
        <v>7</v>
      </c>
      <c r="C58" s="238">
        <v>1</v>
      </c>
      <c r="D58" s="84"/>
      <c r="E58" s="84"/>
      <c r="F58" s="8"/>
    </row>
    <row r="59" spans="1:6" x14ac:dyDescent="0.2">
      <c r="A59" s="13" t="s">
        <v>34</v>
      </c>
      <c r="B59" s="14" t="s">
        <v>0</v>
      </c>
      <c r="C59" s="275"/>
      <c r="D59" s="77">
        <f>D57/220*2</f>
        <v>17.547181818181819</v>
      </c>
      <c r="E59" s="77">
        <f>C59*D59</f>
        <v>0</v>
      </c>
      <c r="F59" s="8"/>
    </row>
    <row r="60" spans="1:6" x14ac:dyDescent="0.2">
      <c r="A60" s="13" t="s">
        <v>35</v>
      </c>
      <c r="B60" s="14" t="s">
        <v>0</v>
      </c>
      <c r="C60" s="275"/>
      <c r="D60" s="77">
        <f>D57/220*1.5</f>
        <v>13.160386363636364</v>
      </c>
      <c r="E60" s="77">
        <f>C60*D60</f>
        <v>0</v>
      </c>
      <c r="F60" s="8"/>
    </row>
    <row r="61" spans="1:6" x14ac:dyDescent="0.2">
      <c r="A61" s="13" t="s">
        <v>210</v>
      </c>
      <c r="B61" s="14" t="s">
        <v>33</v>
      </c>
      <c r="C61" s="46"/>
      <c r="D61" s="77">
        <f>63/302*(SUM(E59:E60))</f>
        <v>0</v>
      </c>
      <c r="E61" s="77">
        <f>D61</f>
        <v>0</v>
      </c>
      <c r="F61" s="8"/>
    </row>
    <row r="62" spans="1:6" x14ac:dyDescent="0.2">
      <c r="A62" s="13" t="s">
        <v>209</v>
      </c>
      <c r="B62" s="14"/>
      <c r="C62" s="95">
        <v>2</v>
      </c>
      <c r="D62" s="77"/>
      <c r="E62" s="77"/>
      <c r="F62" s="8"/>
    </row>
    <row r="63" spans="1:6" x14ac:dyDescent="0.2">
      <c r="A63" s="13" t="s">
        <v>1</v>
      </c>
      <c r="B63" s="14" t="s">
        <v>2</v>
      </c>
      <c r="C63" s="239">
        <v>40</v>
      </c>
      <c r="D63" s="77">
        <f>IF(C62=2,SUM(E57:E61),IF(C62=1,(SUM(E57:E61))*D58/D57,0))</f>
        <v>1930.19</v>
      </c>
      <c r="E63" s="77">
        <f>C63*D63/100</f>
        <v>772.07600000000002</v>
      </c>
      <c r="F63" s="8"/>
    </row>
    <row r="64" spans="1:6" x14ac:dyDescent="0.2">
      <c r="A64" s="81" t="s">
        <v>3</v>
      </c>
      <c r="B64" s="92"/>
      <c r="C64" s="276"/>
      <c r="D64" s="277"/>
      <c r="E64" s="88">
        <f>SUM(E57:E63)</f>
        <v>2702.2660000000001</v>
      </c>
      <c r="F64" s="39"/>
    </row>
    <row r="65" spans="1:8" x14ac:dyDescent="0.2">
      <c r="A65" s="13" t="s">
        <v>4</v>
      </c>
      <c r="B65" s="14" t="s">
        <v>2</v>
      </c>
      <c r="C65" s="77">
        <f>'2.Encargos Sociais'!$C$32*100</f>
        <v>70.595951999999997</v>
      </c>
      <c r="D65" s="77">
        <f>E64</f>
        <v>2702.2660000000001</v>
      </c>
      <c r="E65" s="77">
        <f>D65*C65/100</f>
        <v>1907.6904082723202</v>
      </c>
      <c r="F65" s="8"/>
    </row>
    <row r="66" spans="1:8" x14ac:dyDescent="0.2">
      <c r="A66" s="81" t="s">
        <v>242</v>
      </c>
      <c r="B66" s="232"/>
      <c r="C66" s="278"/>
      <c r="D66" s="279"/>
      <c r="E66" s="88">
        <f>E64+E65</f>
        <v>4609.95640827232</v>
      </c>
      <c r="F66" s="39"/>
    </row>
    <row r="67" spans="1:8" ht="13.5" thickBot="1" x14ac:dyDescent="0.25">
      <c r="A67" s="13" t="s">
        <v>5</v>
      </c>
      <c r="B67" s="14" t="s">
        <v>6</v>
      </c>
      <c r="C67" s="239">
        <v>1</v>
      </c>
      <c r="D67" s="77">
        <f>E66</f>
        <v>4609.95640827232</v>
      </c>
      <c r="E67" s="77">
        <f>C67*D67</f>
        <v>4609.95640827232</v>
      </c>
      <c r="F67" s="8"/>
    </row>
    <row r="68" spans="1:8" ht="13.5" thickBot="1" x14ac:dyDescent="0.25">
      <c r="A68" s="7"/>
      <c r="B68" s="7"/>
      <c r="C68" s="7"/>
      <c r="D68" s="97" t="s">
        <v>192</v>
      </c>
      <c r="E68" s="305">
        <v>0.6</v>
      </c>
      <c r="F68" s="98">
        <f>E67*E68</f>
        <v>2765.9738449633919</v>
      </c>
    </row>
    <row r="69" spans="1:8" x14ac:dyDescent="0.2">
      <c r="A69" s="7"/>
      <c r="B69" s="7"/>
      <c r="C69" s="7"/>
      <c r="D69" s="8"/>
      <c r="E69" s="8"/>
      <c r="F69" s="8"/>
    </row>
    <row r="70" spans="1:8" ht="13.5" thickBot="1" x14ac:dyDescent="0.25">
      <c r="A70" s="281" t="s">
        <v>288</v>
      </c>
      <c r="B70" s="78"/>
      <c r="C70" s="7"/>
      <c r="D70" s="7"/>
      <c r="E70" s="7"/>
      <c r="F70" s="8"/>
    </row>
    <row r="71" spans="1:8" ht="13.5" thickBot="1" x14ac:dyDescent="0.25">
      <c r="A71" s="54" t="s">
        <v>62</v>
      </c>
      <c r="B71" s="55" t="s">
        <v>63</v>
      </c>
      <c r="C71" s="55" t="s">
        <v>40</v>
      </c>
      <c r="D71" s="56" t="s">
        <v>230</v>
      </c>
      <c r="E71" s="56" t="s">
        <v>64</v>
      </c>
      <c r="F71" s="57" t="s">
        <v>65</v>
      </c>
    </row>
    <row r="72" spans="1:8" x14ac:dyDescent="0.2">
      <c r="A72" s="13" t="s">
        <v>90</v>
      </c>
      <c r="B72" s="14" t="s">
        <v>33</v>
      </c>
      <c r="C72" s="280">
        <v>1</v>
      </c>
      <c r="D72" s="87">
        <v>3.8</v>
      </c>
      <c r="E72" s="15"/>
      <c r="F72" s="8"/>
    </row>
    <row r="73" spans="1:8" x14ac:dyDescent="0.2">
      <c r="A73" s="13" t="s">
        <v>91</v>
      </c>
      <c r="B73" s="14" t="s">
        <v>92</v>
      </c>
      <c r="C73" s="46">
        <v>12.84</v>
      </c>
      <c r="D73" s="77"/>
      <c r="E73" s="15"/>
      <c r="F73" s="8"/>
    </row>
    <row r="74" spans="1:8" x14ac:dyDescent="0.2">
      <c r="A74" s="13" t="s">
        <v>73</v>
      </c>
      <c r="B74" s="14" t="s">
        <v>8</v>
      </c>
      <c r="C74" s="80">
        <f>$C$73*2*(C52)</f>
        <v>77.039999999999992</v>
      </c>
      <c r="D74" s="84">
        <f>IFERROR((($C$73*2*$D$72)-(E44*0.06*C73/26))/($C$73*2),"-")</f>
        <v>2.0120346153846151</v>
      </c>
      <c r="E74" s="15">
        <f>IFERROR(C74*D74,"-")</f>
        <v>155.00714676923073</v>
      </c>
      <c r="F74" s="8"/>
    </row>
    <row r="75" spans="1:8" ht="13.5" thickBot="1" x14ac:dyDescent="0.25">
      <c r="A75" s="10" t="s">
        <v>44</v>
      </c>
      <c r="B75" s="11" t="s">
        <v>8</v>
      </c>
      <c r="C75" s="34">
        <f>$C$73*2*(C67)</f>
        <v>25.68</v>
      </c>
      <c r="D75" s="12">
        <f>IFERROR((($C$73*2*$D$72)-(E57*0.06*C73/26))/($C$73*2),"-")</f>
        <v>1.572857692307692</v>
      </c>
      <c r="E75" s="12">
        <f>IFERROR(C75*D75,"-")</f>
        <v>40.390985538461528</v>
      </c>
      <c r="F75" s="8"/>
    </row>
    <row r="76" spans="1:8" ht="13.5" thickBot="1" x14ac:dyDescent="0.25">
      <c r="A76" s="7"/>
      <c r="B76" s="7"/>
      <c r="C76" s="7"/>
      <c r="D76" s="8"/>
      <c r="E76" s="8"/>
      <c r="F76" s="19">
        <f>SUM(E74:E75)</f>
        <v>195.39813230769226</v>
      </c>
    </row>
    <row r="77" spans="1:8" x14ac:dyDescent="0.2">
      <c r="A77" s="7"/>
      <c r="B77" s="7"/>
      <c r="C77" s="7"/>
      <c r="D77" s="8"/>
      <c r="E77" s="8"/>
      <c r="F77" s="8"/>
    </row>
    <row r="78" spans="1:8" ht="13.5" thickBot="1" x14ac:dyDescent="0.25">
      <c r="A78" s="281" t="s">
        <v>289</v>
      </c>
      <c r="B78" s="7"/>
      <c r="C78" s="7"/>
      <c r="D78" s="8"/>
      <c r="E78" s="8"/>
      <c r="F78" s="20"/>
    </row>
    <row r="79" spans="1:8" ht="13.5" thickBot="1" x14ac:dyDescent="0.25">
      <c r="A79" s="54" t="s">
        <v>62</v>
      </c>
      <c r="B79" s="55" t="s">
        <v>63</v>
      </c>
      <c r="C79" s="55" t="s">
        <v>40</v>
      </c>
      <c r="D79" s="56" t="s">
        <v>230</v>
      </c>
      <c r="E79" s="56" t="s">
        <v>64</v>
      </c>
      <c r="F79" s="57" t="s">
        <v>65</v>
      </c>
    </row>
    <row r="80" spans="1:8" x14ac:dyDescent="0.2">
      <c r="A80" s="13" t="str">
        <f>+A74</f>
        <v>Coletor</v>
      </c>
      <c r="B80" s="14" t="s">
        <v>9</v>
      </c>
      <c r="C80" s="80">
        <f>C73*(E30)</f>
        <v>38.519999999999996</v>
      </c>
      <c r="D80" s="282">
        <v>20.18</v>
      </c>
      <c r="E80" s="45">
        <f>(C80*D80)*(1-0.19)</f>
        <v>629.64021600000001</v>
      </c>
      <c r="F80" s="20"/>
      <c r="G80">
        <f>C80/3</f>
        <v>12.839999999999998</v>
      </c>
      <c r="H80">
        <f>G80*20.18</f>
        <v>259.11119999999994</v>
      </c>
    </row>
    <row r="81" spans="1:8" ht="13.5" thickBot="1" x14ac:dyDescent="0.25">
      <c r="A81" s="13" t="str">
        <f>+A75</f>
        <v>Motorista</v>
      </c>
      <c r="B81" s="14" t="s">
        <v>9</v>
      </c>
      <c r="C81" s="80">
        <f>C73*(E31)</f>
        <v>12.84</v>
      </c>
      <c r="D81" s="282">
        <v>12.81</v>
      </c>
      <c r="E81" s="45">
        <f>C81*D81</f>
        <v>164.4804</v>
      </c>
      <c r="F81" s="20"/>
      <c r="H81">
        <f>H80*3</f>
        <v>777.33359999999982</v>
      </c>
    </row>
    <row r="82" spans="1:8" ht="13.5" thickBot="1" x14ac:dyDescent="0.25">
      <c r="A82" s="7"/>
      <c r="B82" s="7"/>
      <c r="C82" s="7"/>
      <c r="D82" s="87"/>
      <c r="E82" s="8"/>
      <c r="F82" s="19">
        <f>E81+E80</f>
        <v>794.12061600000004</v>
      </c>
      <c r="H82">
        <f>H81*0.19</f>
        <v>147.69338399999998</v>
      </c>
    </row>
    <row r="83" spans="1:8" x14ac:dyDescent="0.2">
      <c r="A83" s="7"/>
      <c r="B83" s="7"/>
      <c r="C83" s="7"/>
      <c r="D83" s="8"/>
      <c r="E83" s="8"/>
      <c r="F83" s="8"/>
    </row>
    <row r="84" spans="1:8" ht="13.5" thickBot="1" x14ac:dyDescent="0.25">
      <c r="A84" s="281" t="s">
        <v>290</v>
      </c>
      <c r="B84" s="7"/>
      <c r="C84" s="7"/>
      <c r="D84" s="8"/>
      <c r="E84" s="8"/>
      <c r="F84" s="20"/>
    </row>
    <row r="85" spans="1:8" ht="13.5" thickBot="1" x14ac:dyDescent="0.25">
      <c r="A85" s="54" t="s">
        <v>62</v>
      </c>
      <c r="B85" s="55" t="s">
        <v>63</v>
      </c>
      <c r="C85" s="55" t="s">
        <v>40</v>
      </c>
      <c r="D85" s="56" t="s">
        <v>230</v>
      </c>
      <c r="E85" s="56" t="s">
        <v>64</v>
      </c>
      <c r="F85" s="57" t="s">
        <v>65</v>
      </c>
    </row>
    <row r="86" spans="1:8" ht="13.5" thickBot="1" x14ac:dyDescent="0.25">
      <c r="A86" s="13" t="str">
        <f>+A81</f>
        <v>Motorista</v>
      </c>
      <c r="B86" s="14" t="s">
        <v>9</v>
      </c>
      <c r="C86" s="80">
        <f>C67</f>
        <v>1</v>
      </c>
      <c r="D86" s="282">
        <v>97.24</v>
      </c>
      <c r="E86" s="45">
        <f>C86*D86</f>
        <v>97.24</v>
      </c>
      <c r="F86" s="20"/>
    </row>
    <row r="87" spans="1:8" ht="13.5" thickBot="1" x14ac:dyDescent="0.25">
      <c r="A87" s="7"/>
      <c r="B87" s="7"/>
      <c r="C87" s="7"/>
      <c r="D87" s="97" t="s">
        <v>192</v>
      </c>
      <c r="E87" s="45">
        <v>0.6</v>
      </c>
      <c r="F87" s="19">
        <f>SUM(E86:E86)*E87</f>
        <v>58.343999999999994</v>
      </c>
    </row>
    <row r="88" spans="1:8" ht="13.5" thickBot="1" x14ac:dyDescent="0.25">
      <c r="A88" s="7"/>
      <c r="B88" s="7"/>
      <c r="C88" s="7"/>
      <c r="D88" s="8"/>
      <c r="E88" s="8"/>
      <c r="F88" s="8"/>
    </row>
    <row r="89" spans="1:8" ht="13.5" thickBot="1" x14ac:dyDescent="0.25">
      <c r="A89" s="21" t="s">
        <v>93</v>
      </c>
      <c r="B89" s="22"/>
      <c r="C89" s="22"/>
      <c r="D89" s="23"/>
      <c r="E89" s="24"/>
      <c r="F89" s="19">
        <f>F87+F82+F76+F68+F53</f>
        <v>10475.465900655212</v>
      </c>
    </row>
    <row r="90" spans="1:8" x14ac:dyDescent="0.2">
      <c r="A90" s="7"/>
      <c r="B90" s="7"/>
      <c r="C90" s="7"/>
      <c r="D90" s="8"/>
      <c r="E90" s="8"/>
      <c r="F90" s="8"/>
    </row>
    <row r="91" spans="1:8" x14ac:dyDescent="0.2">
      <c r="A91" s="9" t="s">
        <v>45</v>
      </c>
      <c r="B91" s="7"/>
      <c r="C91" s="7"/>
      <c r="D91" s="8"/>
      <c r="E91" s="8"/>
      <c r="F91" s="8"/>
    </row>
    <row r="92" spans="1:8" x14ac:dyDescent="0.2">
      <c r="A92" s="7"/>
      <c r="B92" s="7"/>
      <c r="C92" s="7"/>
      <c r="D92" s="8"/>
      <c r="E92" s="8"/>
      <c r="F92" s="8"/>
    </row>
    <row r="93" spans="1:8" x14ac:dyDescent="0.2">
      <c r="A93" s="7" t="s">
        <v>194</v>
      </c>
      <c r="B93" s="7"/>
      <c r="C93" s="7"/>
      <c r="D93" s="8"/>
      <c r="E93" s="8"/>
      <c r="F93" s="8"/>
    </row>
    <row r="94" spans="1:8" ht="13.5" thickBot="1" x14ac:dyDescent="0.25">
      <c r="A94" s="7"/>
      <c r="B94" s="7"/>
      <c r="C94" s="7"/>
      <c r="D94" s="8"/>
      <c r="E94" s="8"/>
      <c r="F94" s="8"/>
    </row>
    <row r="95" spans="1:8" ht="24.75" thickBot="1" x14ac:dyDescent="0.25">
      <c r="A95" s="54" t="s">
        <v>62</v>
      </c>
      <c r="B95" s="55" t="s">
        <v>63</v>
      </c>
      <c r="C95" s="233" t="s">
        <v>243</v>
      </c>
      <c r="D95" s="56" t="s">
        <v>230</v>
      </c>
      <c r="E95" s="56" t="s">
        <v>64</v>
      </c>
      <c r="F95" s="57" t="s">
        <v>65</v>
      </c>
    </row>
    <row r="96" spans="1:8" x14ac:dyDescent="0.2">
      <c r="A96" s="10" t="s">
        <v>66</v>
      </c>
      <c r="B96" s="11" t="s">
        <v>9</v>
      </c>
      <c r="C96" s="283">
        <v>12</v>
      </c>
      <c r="D96" s="84">
        <v>105</v>
      </c>
      <c r="E96" s="12">
        <f t="shared" ref="E96:E104" si="1">IFERROR(D96/C96,0)</f>
        <v>8.75</v>
      </c>
      <c r="F96" s="8"/>
    </row>
    <row r="97" spans="1:6" x14ac:dyDescent="0.2">
      <c r="A97" s="13" t="s">
        <v>28</v>
      </c>
      <c r="B97" s="14" t="s">
        <v>9</v>
      </c>
      <c r="C97" s="283">
        <v>2</v>
      </c>
      <c r="D97" s="84">
        <v>38</v>
      </c>
      <c r="E97" s="12">
        <f t="shared" si="1"/>
        <v>19</v>
      </c>
      <c r="F97" s="8"/>
    </row>
    <row r="98" spans="1:6" x14ac:dyDescent="0.2">
      <c r="A98" s="13" t="s">
        <v>29</v>
      </c>
      <c r="B98" s="14" t="s">
        <v>9</v>
      </c>
      <c r="C98" s="283">
        <v>1</v>
      </c>
      <c r="D98" s="84">
        <v>32</v>
      </c>
      <c r="E98" s="12">
        <f t="shared" si="1"/>
        <v>32</v>
      </c>
      <c r="F98" s="8"/>
    </row>
    <row r="99" spans="1:6" x14ac:dyDescent="0.2">
      <c r="A99" s="13" t="s">
        <v>30</v>
      </c>
      <c r="B99" s="14" t="s">
        <v>9</v>
      </c>
      <c r="C99" s="283">
        <v>6</v>
      </c>
      <c r="D99" s="84">
        <v>12</v>
      </c>
      <c r="E99" s="12">
        <f t="shared" si="1"/>
        <v>2</v>
      </c>
      <c r="F99" s="8"/>
    </row>
    <row r="100" spans="1:6" x14ac:dyDescent="0.2">
      <c r="A100" s="13" t="s">
        <v>68</v>
      </c>
      <c r="B100" s="14" t="s">
        <v>48</v>
      </c>
      <c r="C100" s="283">
        <v>2</v>
      </c>
      <c r="D100" s="84">
        <v>62</v>
      </c>
      <c r="E100" s="12">
        <f t="shared" si="1"/>
        <v>31</v>
      </c>
      <c r="F100" s="8"/>
    </row>
    <row r="101" spans="1:6" x14ac:dyDescent="0.2">
      <c r="A101" s="13" t="s">
        <v>94</v>
      </c>
      <c r="B101" s="14" t="s">
        <v>48</v>
      </c>
      <c r="C101" s="283">
        <v>2</v>
      </c>
      <c r="D101" s="84">
        <v>10</v>
      </c>
      <c r="E101" s="12">
        <f t="shared" si="1"/>
        <v>5</v>
      </c>
      <c r="F101" s="8"/>
    </row>
    <row r="102" spans="1:6" x14ac:dyDescent="0.2">
      <c r="A102" s="13" t="s">
        <v>67</v>
      </c>
      <c r="B102" s="14" t="s">
        <v>9</v>
      </c>
      <c r="C102" s="283">
        <v>6</v>
      </c>
      <c r="D102" s="84">
        <v>60</v>
      </c>
      <c r="E102" s="12">
        <f t="shared" si="1"/>
        <v>10</v>
      </c>
      <c r="F102" s="8"/>
    </row>
    <row r="103" spans="1:6" x14ac:dyDescent="0.2">
      <c r="A103" s="13" t="s">
        <v>31</v>
      </c>
      <c r="B103" s="14" t="s">
        <v>48</v>
      </c>
      <c r="C103" s="283">
        <v>0.25</v>
      </c>
      <c r="D103" s="84">
        <v>8.99</v>
      </c>
      <c r="E103" s="12">
        <f t="shared" si="1"/>
        <v>35.96</v>
      </c>
      <c r="F103" s="8"/>
    </row>
    <row r="104" spans="1:6" x14ac:dyDescent="0.2">
      <c r="A104" s="13" t="s">
        <v>61</v>
      </c>
      <c r="B104" s="14" t="s">
        <v>49</v>
      </c>
      <c r="C104" s="283">
        <v>1</v>
      </c>
      <c r="D104" s="84">
        <v>14</v>
      </c>
      <c r="E104" s="12">
        <f t="shared" si="1"/>
        <v>14</v>
      </c>
      <c r="F104" s="8"/>
    </row>
    <row r="105" spans="1:6" x14ac:dyDescent="0.2">
      <c r="A105" s="13" t="s">
        <v>195</v>
      </c>
      <c r="B105" s="14" t="s">
        <v>121</v>
      </c>
      <c r="C105" s="95">
        <v>1</v>
      </c>
      <c r="D105" s="84">
        <v>75</v>
      </c>
      <c r="E105" s="15">
        <f>C105*D105</f>
        <v>75</v>
      </c>
      <c r="F105" s="8"/>
    </row>
    <row r="106" spans="1:6" ht="13.5" thickBot="1" x14ac:dyDescent="0.25">
      <c r="A106" s="13" t="s">
        <v>5</v>
      </c>
      <c r="B106" s="14" t="s">
        <v>6</v>
      </c>
      <c r="C106" s="95">
        <f>C52</f>
        <v>3</v>
      </c>
      <c r="D106" s="77">
        <f>+SUM(E96:E105)</f>
        <v>232.71</v>
      </c>
      <c r="E106" s="15">
        <f>C106*D106</f>
        <v>698.13</v>
      </c>
      <c r="F106" s="8"/>
    </row>
    <row r="107" spans="1:6" ht="13.5" thickBot="1" x14ac:dyDescent="0.25">
      <c r="A107" s="7"/>
      <c r="B107" s="7"/>
      <c r="C107" s="7"/>
      <c r="D107" s="97" t="s">
        <v>192</v>
      </c>
      <c r="E107" s="305">
        <v>0.6</v>
      </c>
      <c r="F107" s="98">
        <f>E106*E107</f>
        <v>418.87799999999999</v>
      </c>
    </row>
    <row r="108" spans="1:6" x14ac:dyDescent="0.2">
      <c r="A108" s="7"/>
      <c r="B108" s="7"/>
      <c r="C108" s="7"/>
      <c r="D108" s="8"/>
      <c r="E108" s="8"/>
      <c r="F108" s="8"/>
    </row>
    <row r="109" spans="1:6" x14ac:dyDescent="0.2">
      <c r="A109" s="7" t="s">
        <v>196</v>
      </c>
      <c r="B109" s="7"/>
      <c r="C109" s="7"/>
      <c r="D109" s="8"/>
      <c r="E109" s="8"/>
      <c r="F109" s="8"/>
    </row>
    <row r="110" spans="1:6" ht="13.5" thickBot="1" x14ac:dyDescent="0.25">
      <c r="A110" s="7"/>
      <c r="B110" s="7"/>
      <c r="C110" s="7"/>
      <c r="D110" s="8"/>
      <c r="E110" s="8"/>
      <c r="F110" s="8"/>
    </row>
    <row r="111" spans="1:6" ht="24.75" thickBot="1" x14ac:dyDescent="0.25">
      <c r="A111" s="54" t="s">
        <v>62</v>
      </c>
      <c r="B111" s="55" t="s">
        <v>63</v>
      </c>
      <c r="C111" s="233" t="s">
        <v>243</v>
      </c>
      <c r="D111" s="56" t="s">
        <v>230</v>
      </c>
      <c r="E111" s="56" t="s">
        <v>64</v>
      </c>
      <c r="F111" s="57" t="s">
        <v>65</v>
      </c>
    </row>
    <row r="112" spans="1:6" x14ac:dyDescent="0.2">
      <c r="A112" s="10" t="s">
        <v>66</v>
      </c>
      <c r="B112" s="11" t="s">
        <v>9</v>
      </c>
      <c r="C112" s="283">
        <v>12</v>
      </c>
      <c r="D112" s="84">
        <f>+D96</f>
        <v>105</v>
      </c>
      <c r="E112" s="12">
        <f t="shared" ref="E112:E117" si="2">IFERROR(D112/C112,0)</f>
        <v>8.75</v>
      </c>
      <c r="F112" s="8"/>
    </row>
    <row r="113" spans="1:6" x14ac:dyDescent="0.2">
      <c r="A113" s="13" t="s">
        <v>28</v>
      </c>
      <c r="B113" s="14" t="s">
        <v>9</v>
      </c>
      <c r="C113" s="283">
        <v>3</v>
      </c>
      <c r="D113" s="77">
        <f>+D97</f>
        <v>38</v>
      </c>
      <c r="E113" s="12">
        <f t="shared" si="2"/>
        <v>12.666666666666666</v>
      </c>
      <c r="F113" s="8"/>
    </row>
    <row r="114" spans="1:6" x14ac:dyDescent="0.2">
      <c r="A114" s="13" t="s">
        <v>29</v>
      </c>
      <c r="B114" s="14" t="s">
        <v>9</v>
      </c>
      <c r="C114" s="283">
        <v>2</v>
      </c>
      <c r="D114" s="77">
        <f>+D98</f>
        <v>32</v>
      </c>
      <c r="E114" s="12">
        <f t="shared" si="2"/>
        <v>16</v>
      </c>
      <c r="F114" s="8"/>
    </row>
    <row r="115" spans="1:6" x14ac:dyDescent="0.2">
      <c r="A115" s="13" t="s">
        <v>68</v>
      </c>
      <c r="B115" s="14" t="s">
        <v>48</v>
      </c>
      <c r="C115" s="283">
        <v>4</v>
      </c>
      <c r="D115" s="77">
        <f>+D100</f>
        <v>62</v>
      </c>
      <c r="E115" s="12">
        <f t="shared" si="2"/>
        <v>15.5</v>
      </c>
      <c r="F115" s="8"/>
    </row>
    <row r="116" spans="1:6" x14ac:dyDescent="0.2">
      <c r="A116" s="13" t="s">
        <v>67</v>
      </c>
      <c r="B116" s="14" t="s">
        <v>9</v>
      </c>
      <c r="C116" s="283">
        <v>6</v>
      </c>
      <c r="D116" s="77">
        <f>+D102</f>
        <v>60</v>
      </c>
      <c r="E116" s="12">
        <f t="shared" si="2"/>
        <v>10</v>
      </c>
      <c r="F116" s="8"/>
    </row>
    <row r="117" spans="1:6" x14ac:dyDescent="0.2">
      <c r="A117" s="13" t="s">
        <v>61</v>
      </c>
      <c r="B117" s="14" t="s">
        <v>49</v>
      </c>
      <c r="C117" s="283">
        <v>3</v>
      </c>
      <c r="D117" s="77">
        <f>+D104</f>
        <v>14</v>
      </c>
      <c r="E117" s="12">
        <f t="shared" si="2"/>
        <v>4.666666666666667</v>
      </c>
      <c r="F117" s="8"/>
    </row>
    <row r="118" spans="1:6" x14ac:dyDescent="0.2">
      <c r="A118" s="13" t="s">
        <v>195</v>
      </c>
      <c r="B118" s="14" t="s">
        <v>121</v>
      </c>
      <c r="C118" s="95">
        <v>1</v>
      </c>
      <c r="D118" s="84">
        <v>45</v>
      </c>
      <c r="E118" s="15">
        <f>C118*D118</f>
        <v>45</v>
      </c>
      <c r="F118" s="8"/>
    </row>
    <row r="119" spans="1:6" ht="13.5" thickBot="1" x14ac:dyDescent="0.25">
      <c r="A119" s="13" t="s">
        <v>5</v>
      </c>
      <c r="B119" s="14" t="s">
        <v>6</v>
      </c>
      <c r="C119" s="63">
        <f>C67</f>
        <v>1</v>
      </c>
      <c r="D119" s="15">
        <f>+SUM(E112:E118)</f>
        <v>112.58333333333333</v>
      </c>
      <c r="E119" s="15">
        <f>C119*D119</f>
        <v>112.58333333333333</v>
      </c>
      <c r="F119" s="8"/>
    </row>
    <row r="120" spans="1:6" ht="13.5" thickBot="1" x14ac:dyDescent="0.25">
      <c r="A120" s="7"/>
      <c r="B120" s="7"/>
      <c r="C120" s="7"/>
      <c r="D120" s="97" t="s">
        <v>192</v>
      </c>
      <c r="E120" s="305">
        <v>0.6</v>
      </c>
      <c r="F120" s="98">
        <f>E119*E120</f>
        <v>67.55</v>
      </c>
    </row>
    <row r="121" spans="1:6" ht="13.5" thickBot="1" x14ac:dyDescent="0.25">
      <c r="A121" s="7"/>
      <c r="B121" s="7"/>
      <c r="C121" s="7"/>
      <c r="D121" s="8"/>
      <c r="E121" s="8"/>
      <c r="F121" s="8"/>
    </row>
    <row r="122" spans="1:6" ht="13.5" thickBot="1" x14ac:dyDescent="0.25">
      <c r="A122" s="21" t="s">
        <v>197</v>
      </c>
      <c r="B122" s="25"/>
      <c r="C122" s="25"/>
      <c r="D122" s="26"/>
      <c r="E122" s="27"/>
      <c r="F122" s="18">
        <f>+F107+F120</f>
        <v>486.428</v>
      </c>
    </row>
    <row r="123" spans="1:6" x14ac:dyDescent="0.2">
      <c r="A123" s="7"/>
      <c r="B123" s="7"/>
      <c r="C123" s="7"/>
      <c r="D123" s="8"/>
      <c r="E123" s="8"/>
      <c r="F123" s="8"/>
    </row>
    <row r="124" spans="1:6" x14ac:dyDescent="0.2">
      <c r="A124" s="9" t="s">
        <v>54</v>
      </c>
      <c r="B124" s="7"/>
      <c r="C124" s="7"/>
      <c r="D124" s="8"/>
      <c r="E124" s="8"/>
      <c r="F124" s="8"/>
    </row>
    <row r="125" spans="1:6" x14ac:dyDescent="0.2">
      <c r="A125" s="7"/>
      <c r="B125" s="85"/>
      <c r="C125" s="7"/>
      <c r="D125" s="8"/>
      <c r="E125" s="8"/>
      <c r="F125" s="8"/>
    </row>
    <row r="126" spans="1:6" x14ac:dyDescent="0.2">
      <c r="A126" s="284" t="s">
        <v>291</v>
      </c>
      <c r="B126" s="7"/>
      <c r="C126" s="7"/>
      <c r="D126" s="8"/>
      <c r="E126" s="8"/>
      <c r="F126" s="8"/>
    </row>
    <row r="127" spans="1:6" x14ac:dyDescent="0.2">
      <c r="A127" s="7"/>
      <c r="B127" s="7"/>
      <c r="C127" s="7"/>
      <c r="D127" s="8"/>
      <c r="E127" s="8"/>
      <c r="F127" s="8"/>
    </row>
    <row r="128" spans="1:6" ht="13.5" thickBot="1" x14ac:dyDescent="0.25">
      <c r="A128" s="85" t="s">
        <v>46</v>
      </c>
      <c r="B128" s="7"/>
      <c r="C128" s="7"/>
      <c r="D128" s="8"/>
      <c r="E128" s="8"/>
      <c r="F128" s="8"/>
    </row>
    <row r="129" spans="1:9" ht="13.5" thickBot="1" x14ac:dyDescent="0.25">
      <c r="A129" s="54" t="s">
        <v>62</v>
      </c>
      <c r="B129" s="55" t="s">
        <v>63</v>
      </c>
      <c r="C129" s="55" t="s">
        <v>40</v>
      </c>
      <c r="D129" s="56" t="s">
        <v>230</v>
      </c>
      <c r="E129" s="56" t="s">
        <v>64</v>
      </c>
      <c r="F129" s="57" t="s">
        <v>65</v>
      </c>
    </row>
    <row r="130" spans="1:9" x14ac:dyDescent="0.2">
      <c r="A130" s="10" t="s">
        <v>105</v>
      </c>
      <c r="B130" s="11" t="s">
        <v>9</v>
      </c>
      <c r="C130" s="238">
        <v>1</v>
      </c>
      <c r="D130" s="84">
        <v>303000</v>
      </c>
      <c r="E130" s="12">
        <f>C130*D130</f>
        <v>303000</v>
      </c>
      <c r="F130" s="8"/>
      <c r="H130" t="s">
        <v>296</v>
      </c>
    </row>
    <row r="131" spans="1:9" x14ac:dyDescent="0.2">
      <c r="A131" s="13" t="s">
        <v>99</v>
      </c>
      <c r="B131" s="14" t="s">
        <v>100</v>
      </c>
      <c r="C131" s="239">
        <v>10</v>
      </c>
      <c r="D131" s="77"/>
      <c r="E131" s="15"/>
      <c r="F131" s="8"/>
      <c r="H131" t="s">
        <v>297</v>
      </c>
      <c r="I131" s="303">
        <f>D130</f>
        <v>303000</v>
      </c>
    </row>
    <row r="132" spans="1:9" x14ac:dyDescent="0.2">
      <c r="A132" s="13" t="s">
        <v>203</v>
      </c>
      <c r="B132" s="14" t="s">
        <v>100</v>
      </c>
      <c r="C132" s="239">
        <v>0</v>
      </c>
      <c r="D132" s="77"/>
      <c r="E132" s="15"/>
      <c r="F132" s="17"/>
      <c r="H132" t="s">
        <v>298</v>
      </c>
      <c r="I132" s="304">
        <f>I131-(0.65*I131)</f>
        <v>106050</v>
      </c>
    </row>
    <row r="133" spans="1:9" x14ac:dyDescent="0.2">
      <c r="A133" s="13" t="s">
        <v>103</v>
      </c>
      <c r="B133" s="14" t="s">
        <v>2</v>
      </c>
      <c r="C133" s="77">
        <f>IFERROR(VLOOKUP(C131,'5. Depreciação'!A3:B17,2,FALSE),0)</f>
        <v>65.180000000000007</v>
      </c>
      <c r="D133" s="77">
        <f>E130</f>
        <v>303000</v>
      </c>
      <c r="E133" s="15">
        <f>C133*D133/100</f>
        <v>197495.40000000002</v>
      </c>
      <c r="F133" s="8"/>
      <c r="H133" t="s">
        <v>299</v>
      </c>
      <c r="I133">
        <v>10</v>
      </c>
    </row>
    <row r="134" spans="1:9" ht="13.5" thickBot="1" x14ac:dyDescent="0.25">
      <c r="A134" s="241" t="s">
        <v>50</v>
      </c>
      <c r="B134" s="242" t="s">
        <v>7</v>
      </c>
      <c r="C134" s="285">
        <f>C131*12</f>
        <v>120</v>
      </c>
      <c r="D134" s="244">
        <f>IF(C132&lt;=C131,E133,0)</f>
        <v>197495.40000000002</v>
      </c>
      <c r="E134" s="243">
        <f>IFERROR(D134/C134,0)</f>
        <v>1645.7950000000003</v>
      </c>
      <c r="F134" s="8"/>
      <c r="H134" t="s">
        <v>300</v>
      </c>
      <c r="I134">
        <f>11/20</f>
        <v>0.55000000000000004</v>
      </c>
    </row>
    <row r="135" spans="1:9" ht="13.5" thickTop="1" x14ac:dyDescent="0.2">
      <c r="A135" s="10" t="s">
        <v>104</v>
      </c>
      <c r="B135" s="11" t="s">
        <v>9</v>
      </c>
      <c r="C135" s="238">
        <f>C130</f>
        <v>1</v>
      </c>
      <c r="D135" s="84">
        <v>198000</v>
      </c>
      <c r="E135" s="12">
        <f>C135*D135</f>
        <v>198000</v>
      </c>
      <c r="F135" s="8"/>
      <c r="H135" t="s">
        <v>301</v>
      </c>
      <c r="I135" s="304">
        <f>I131-I132</f>
        <v>196950</v>
      </c>
    </row>
    <row r="136" spans="1:9" x14ac:dyDescent="0.2">
      <c r="A136" s="13" t="s">
        <v>101</v>
      </c>
      <c r="B136" s="14" t="s">
        <v>100</v>
      </c>
      <c r="C136" s="239">
        <v>10</v>
      </c>
      <c r="D136" s="77"/>
      <c r="E136" s="15"/>
      <c r="F136" s="8"/>
      <c r="H136" t="s">
        <v>302</v>
      </c>
      <c r="I136" s="304">
        <f>I135*I134</f>
        <v>108322.50000000001</v>
      </c>
    </row>
    <row r="137" spans="1:9" x14ac:dyDescent="0.2">
      <c r="A137" s="13" t="s">
        <v>204</v>
      </c>
      <c r="B137" s="14" t="s">
        <v>100</v>
      </c>
      <c r="C137" s="239">
        <v>0</v>
      </c>
      <c r="D137" s="77"/>
      <c r="E137" s="15"/>
      <c r="F137" s="17"/>
      <c r="H137" t="s">
        <v>303</v>
      </c>
      <c r="I137" s="304">
        <f>I136+I132</f>
        <v>214372.5</v>
      </c>
    </row>
    <row r="138" spans="1:9" x14ac:dyDescent="0.2">
      <c r="A138" s="13" t="s">
        <v>102</v>
      </c>
      <c r="B138" s="14" t="s">
        <v>2</v>
      </c>
      <c r="C138" s="286">
        <f>IFERROR(VLOOKUP(C136,'5. Depreciação'!A3:B17,2,FALSE),0)</f>
        <v>65.180000000000007</v>
      </c>
      <c r="D138" s="77">
        <f>E135</f>
        <v>198000</v>
      </c>
      <c r="E138" s="15">
        <f>C138*D138/100</f>
        <v>129056.40000000002</v>
      </c>
      <c r="F138" s="8"/>
    </row>
    <row r="139" spans="1:9" x14ac:dyDescent="0.2">
      <c r="A139" s="81" t="s">
        <v>106</v>
      </c>
      <c r="B139" s="82" t="s">
        <v>7</v>
      </c>
      <c r="C139" s="287">
        <f>C136*12</f>
        <v>120</v>
      </c>
      <c r="D139" s="88">
        <f>IF(C137&lt;=C136,E138,0)</f>
        <v>129056.40000000002</v>
      </c>
      <c r="E139" s="83">
        <f>IFERROR(D139/C139,0)</f>
        <v>1075.4700000000003</v>
      </c>
      <c r="F139" s="8"/>
    </row>
    <row r="140" spans="1:9" x14ac:dyDescent="0.2">
      <c r="A140" s="91" t="s">
        <v>246</v>
      </c>
      <c r="B140" s="92"/>
      <c r="C140" s="276"/>
      <c r="D140" s="277"/>
      <c r="E140" s="94">
        <f>E134+E139</f>
        <v>2721.2650000000003</v>
      </c>
      <c r="F140" s="8"/>
    </row>
    <row r="141" spans="1:9" ht="13.5" thickBot="1" x14ac:dyDescent="0.25">
      <c r="A141" s="81" t="s">
        <v>247</v>
      </c>
      <c r="B141" s="82" t="s">
        <v>9</v>
      </c>
      <c r="C141" s="239">
        <v>1</v>
      </c>
      <c r="D141" s="88">
        <f>E140</f>
        <v>2721.2650000000003</v>
      </c>
      <c r="E141" s="94">
        <f>C141*D141</f>
        <v>2721.2650000000003</v>
      </c>
      <c r="F141" s="8"/>
    </row>
    <row r="142" spans="1:9" ht="13.5" thickBot="1" x14ac:dyDescent="0.25">
      <c r="A142" s="237"/>
      <c r="B142" s="237"/>
      <c r="C142" s="237"/>
      <c r="D142" s="97" t="s">
        <v>192</v>
      </c>
      <c r="E142" s="305">
        <v>0.6</v>
      </c>
      <c r="F142" s="18">
        <f>E141*E142</f>
        <v>1632.7590000000002</v>
      </c>
    </row>
    <row r="143" spans="1:9" x14ac:dyDescent="0.2">
      <c r="A143" s="7"/>
      <c r="B143" s="7"/>
      <c r="C143" s="7"/>
      <c r="D143" s="8"/>
      <c r="E143" s="8"/>
      <c r="F143" s="8"/>
    </row>
    <row r="144" spans="1:9" ht="13.5" thickBot="1" x14ac:dyDescent="0.25">
      <c r="A144" s="85" t="s">
        <v>111</v>
      </c>
      <c r="B144" s="7"/>
      <c r="C144" s="7"/>
      <c r="D144" s="8"/>
      <c r="E144" s="8"/>
      <c r="F144" s="8"/>
    </row>
    <row r="145" spans="1:6" ht="13.5" thickBot="1" x14ac:dyDescent="0.25">
      <c r="A145" s="54" t="s">
        <v>62</v>
      </c>
      <c r="B145" s="55" t="s">
        <v>63</v>
      </c>
      <c r="C145" s="55" t="s">
        <v>40</v>
      </c>
      <c r="D145" s="56" t="s">
        <v>230</v>
      </c>
      <c r="E145" s="56" t="s">
        <v>64</v>
      </c>
      <c r="F145" s="57" t="s">
        <v>65</v>
      </c>
    </row>
    <row r="146" spans="1:6" x14ac:dyDescent="0.2">
      <c r="A146" s="10" t="s">
        <v>109</v>
      </c>
      <c r="B146" s="11" t="s">
        <v>9</v>
      </c>
      <c r="C146" s="238">
        <v>1</v>
      </c>
      <c r="D146" s="12">
        <f>D130</f>
        <v>303000</v>
      </c>
      <c r="E146" s="12">
        <f>C146*D146</f>
        <v>303000</v>
      </c>
      <c r="F146" s="17"/>
    </row>
    <row r="147" spans="1:6" x14ac:dyDescent="0.2">
      <c r="A147" s="13" t="s">
        <v>207</v>
      </c>
      <c r="B147" s="14" t="s">
        <v>2</v>
      </c>
      <c r="C147" s="239">
        <v>9.25</v>
      </c>
      <c r="D147" s="15"/>
      <c r="E147" s="15"/>
      <c r="F147" s="17"/>
    </row>
    <row r="148" spans="1:6" x14ac:dyDescent="0.2">
      <c r="A148" s="13" t="s">
        <v>205</v>
      </c>
      <c r="B148" s="14" t="s">
        <v>33</v>
      </c>
      <c r="C148" s="119">
        <f>IFERROR(IF(C132&lt;=C131,E130-(C133/(100*C131)*C132)*E130,E130-E133),0)</f>
        <v>303000</v>
      </c>
      <c r="D148" s="15"/>
      <c r="E148" s="15"/>
      <c r="F148" s="17"/>
    </row>
    <row r="149" spans="1:6" x14ac:dyDescent="0.2">
      <c r="A149" s="13" t="s">
        <v>114</v>
      </c>
      <c r="B149" s="14" t="s">
        <v>33</v>
      </c>
      <c r="C149" s="77">
        <f>((303000-F133)*0.55)+F133</f>
        <v>166650</v>
      </c>
      <c r="D149" s="15"/>
      <c r="E149" s="15"/>
      <c r="F149" s="17"/>
    </row>
    <row r="150" spans="1:6" ht="13.5" thickBot="1" x14ac:dyDescent="0.25">
      <c r="A150" s="241" t="s">
        <v>115</v>
      </c>
      <c r="B150" s="242" t="s">
        <v>33</v>
      </c>
      <c r="C150" s="242"/>
      <c r="D150" s="244">
        <f>C147*C149/12/100</f>
        <v>1284.59375</v>
      </c>
      <c r="E150" s="243">
        <f>D150</f>
        <v>1284.59375</v>
      </c>
      <c r="F150" s="17"/>
    </row>
    <row r="151" spans="1:6" ht="13.5" thickTop="1" x14ac:dyDescent="0.2">
      <c r="A151" s="10" t="s">
        <v>110</v>
      </c>
      <c r="B151" s="11" t="s">
        <v>9</v>
      </c>
      <c r="C151" s="11">
        <f>C135</f>
        <v>1</v>
      </c>
      <c r="D151" s="12">
        <f>D135</f>
        <v>198000</v>
      </c>
      <c r="E151" s="12">
        <f>C151*D151</f>
        <v>198000</v>
      </c>
      <c r="F151" s="17"/>
    </row>
    <row r="152" spans="1:6" x14ac:dyDescent="0.2">
      <c r="A152" s="13" t="s">
        <v>207</v>
      </c>
      <c r="B152" s="14" t="s">
        <v>2</v>
      </c>
      <c r="C152" s="239">
        <f>C147</f>
        <v>9.25</v>
      </c>
      <c r="D152" s="15"/>
      <c r="E152" s="15"/>
      <c r="F152" s="17"/>
    </row>
    <row r="153" spans="1:6" x14ac:dyDescent="0.2">
      <c r="A153" s="13" t="s">
        <v>206</v>
      </c>
      <c r="B153" s="14" t="s">
        <v>33</v>
      </c>
      <c r="C153" s="119">
        <f>IFERROR(IF(C137&lt;=C136,E135-(C138/(100*C136)*C137)*E135,E135-E138),0)</f>
        <v>198000</v>
      </c>
      <c r="D153" s="15"/>
      <c r="E153" s="15"/>
      <c r="F153" s="17"/>
    </row>
    <row r="154" spans="1:6" x14ac:dyDescent="0.2">
      <c r="A154" s="13" t="s">
        <v>116</v>
      </c>
      <c r="B154" s="14" t="s">
        <v>33</v>
      </c>
      <c r="C154" s="77">
        <v>106862</v>
      </c>
      <c r="D154" s="15"/>
      <c r="E154" s="15"/>
      <c r="F154" s="17"/>
    </row>
    <row r="155" spans="1:6" x14ac:dyDescent="0.2">
      <c r="A155" s="81" t="s">
        <v>113</v>
      </c>
      <c r="B155" s="82" t="s">
        <v>33</v>
      </c>
      <c r="C155" s="82"/>
      <c r="D155" s="88">
        <f>C152*C154/12/100</f>
        <v>823.72791666666672</v>
      </c>
      <c r="E155" s="83">
        <f>D155</f>
        <v>823.72791666666672</v>
      </c>
      <c r="F155" s="17"/>
    </row>
    <row r="156" spans="1:6" x14ac:dyDescent="0.2">
      <c r="A156" s="91" t="s">
        <v>246</v>
      </c>
      <c r="B156" s="92"/>
      <c r="C156" s="92"/>
      <c r="D156" s="93"/>
      <c r="E156" s="94">
        <f>E150+E155</f>
        <v>2108.3216666666667</v>
      </c>
      <c r="F156" s="17"/>
    </row>
    <row r="157" spans="1:6" ht="13.5" thickBot="1" x14ac:dyDescent="0.25">
      <c r="A157" s="81" t="s">
        <v>247</v>
      </c>
      <c r="B157" s="82" t="s">
        <v>9</v>
      </c>
      <c r="C157" s="239">
        <f>C141</f>
        <v>1</v>
      </c>
      <c r="D157" s="83">
        <f>E156</f>
        <v>2108.3216666666667</v>
      </c>
      <c r="E157" s="94">
        <f>C157*D157</f>
        <v>2108.3216666666667</v>
      </c>
      <c r="F157" s="17"/>
    </row>
    <row r="158" spans="1:6" ht="13.5" thickBot="1" x14ac:dyDescent="0.25">
      <c r="A158" s="7"/>
      <c r="B158" s="7"/>
      <c r="C158" s="16"/>
      <c r="D158" s="97" t="s">
        <v>192</v>
      </c>
      <c r="E158" s="305">
        <v>0.6</v>
      </c>
      <c r="F158" s="18">
        <f>E157*E158</f>
        <v>1264.9929999999999</v>
      </c>
    </row>
    <row r="159" spans="1:6" x14ac:dyDescent="0.2">
      <c r="A159" s="7"/>
      <c r="B159" s="7"/>
      <c r="C159" s="7"/>
      <c r="D159" s="8"/>
      <c r="E159" s="8"/>
      <c r="F159" s="8"/>
    </row>
    <row r="160" spans="1:6" ht="13.5" thickBot="1" x14ac:dyDescent="0.25">
      <c r="A160" s="7" t="s">
        <v>51</v>
      </c>
      <c r="B160" s="7"/>
      <c r="C160" s="7"/>
      <c r="D160" s="8"/>
      <c r="E160" s="8"/>
      <c r="F160" s="8"/>
    </row>
    <row r="161" spans="1:6" ht="13.5" thickBot="1" x14ac:dyDescent="0.25">
      <c r="A161" s="54" t="s">
        <v>62</v>
      </c>
      <c r="B161" s="55" t="s">
        <v>63</v>
      </c>
      <c r="C161" s="55" t="s">
        <v>40</v>
      </c>
      <c r="D161" s="56" t="s">
        <v>230</v>
      </c>
      <c r="E161" s="56" t="s">
        <v>64</v>
      </c>
      <c r="F161" s="57" t="s">
        <v>65</v>
      </c>
    </row>
    <row r="162" spans="1:6" x14ac:dyDescent="0.2">
      <c r="A162" s="10" t="s">
        <v>10</v>
      </c>
      <c r="B162" s="11" t="s">
        <v>9</v>
      </c>
      <c r="C162" s="12">
        <f>C141</f>
        <v>1</v>
      </c>
      <c r="D162" s="12">
        <f>0.01*($E$130)</f>
        <v>3030</v>
      </c>
      <c r="E162" s="12">
        <f>C162*D162</f>
        <v>3030</v>
      </c>
      <c r="F162" s="8"/>
    </row>
    <row r="163" spans="1:6" x14ac:dyDescent="0.2">
      <c r="A163" s="13" t="s">
        <v>191</v>
      </c>
      <c r="B163" s="14" t="s">
        <v>9</v>
      </c>
      <c r="C163" s="12">
        <f>C141</f>
        <v>1</v>
      </c>
      <c r="D163" s="77">
        <v>105</v>
      </c>
      <c r="E163" s="15">
        <f>C163*D163</f>
        <v>105</v>
      </c>
      <c r="F163" s="8"/>
    </row>
    <row r="164" spans="1:6" x14ac:dyDescent="0.2">
      <c r="A164" s="13" t="s">
        <v>11</v>
      </c>
      <c r="B164" s="14" t="s">
        <v>9</v>
      </c>
      <c r="C164" s="12">
        <f>C141</f>
        <v>1</v>
      </c>
      <c r="D164" s="77">
        <v>3850</v>
      </c>
      <c r="E164" s="15">
        <f>C164*D164</f>
        <v>3850</v>
      </c>
      <c r="F164" s="28"/>
    </row>
    <row r="165" spans="1:6" ht="13.5" thickBot="1" x14ac:dyDescent="0.25">
      <c r="A165" s="81" t="s">
        <v>12</v>
      </c>
      <c r="B165" s="82" t="s">
        <v>7</v>
      </c>
      <c r="C165" s="82">
        <v>12</v>
      </c>
      <c r="D165" s="83">
        <f>SUM(E162:E164)</f>
        <v>6985</v>
      </c>
      <c r="E165" s="83">
        <f>D165/C165</f>
        <v>582.08333333333337</v>
      </c>
      <c r="F165" s="8"/>
    </row>
    <row r="166" spans="1:6" ht="13.5" thickBot="1" x14ac:dyDescent="0.25">
      <c r="A166" s="7"/>
      <c r="B166" s="7"/>
      <c r="C166" s="7"/>
      <c r="D166" s="97" t="s">
        <v>192</v>
      </c>
      <c r="E166" s="305">
        <v>0.6</v>
      </c>
      <c r="F166" s="98">
        <f>E165*E166</f>
        <v>349.25</v>
      </c>
    </row>
    <row r="167" spans="1:6" x14ac:dyDescent="0.2">
      <c r="A167" s="7"/>
      <c r="B167" s="7"/>
      <c r="C167" s="7"/>
      <c r="D167" s="8"/>
      <c r="E167" s="8"/>
      <c r="F167" s="8"/>
    </row>
    <row r="168" spans="1:6" x14ac:dyDescent="0.2">
      <c r="A168" s="7" t="s">
        <v>52</v>
      </c>
      <c r="B168" s="29"/>
      <c r="C168" s="7"/>
      <c r="D168" s="8"/>
      <c r="E168" s="8"/>
      <c r="F168" s="8"/>
    </row>
    <row r="169" spans="1:6" x14ac:dyDescent="0.2">
      <c r="A169" s="7"/>
      <c r="B169" s="29"/>
      <c r="C169" s="7"/>
      <c r="D169" s="8"/>
      <c r="E169" s="8"/>
      <c r="F169" s="8"/>
    </row>
    <row r="170" spans="1:6" x14ac:dyDescent="0.2">
      <c r="A170" s="81" t="s">
        <v>118</v>
      </c>
      <c r="B170" s="288">
        <v>4300</v>
      </c>
      <c r="C170" s="7"/>
      <c r="D170" s="8"/>
      <c r="E170" s="8"/>
      <c r="F170" s="8"/>
    </row>
    <row r="171" spans="1:6" ht="13.5" thickBot="1" x14ac:dyDescent="0.25">
      <c r="A171" s="7"/>
      <c r="B171" s="29"/>
      <c r="C171" s="7"/>
      <c r="D171" s="8"/>
      <c r="E171" s="8"/>
      <c r="F171" s="8"/>
    </row>
    <row r="172" spans="1:6" ht="13.5" thickBot="1" x14ac:dyDescent="0.25">
      <c r="A172" s="54" t="s">
        <v>62</v>
      </c>
      <c r="B172" s="55" t="s">
        <v>63</v>
      </c>
      <c r="C172" s="55" t="s">
        <v>245</v>
      </c>
      <c r="D172" s="56" t="s">
        <v>230</v>
      </c>
      <c r="E172" s="56" t="s">
        <v>64</v>
      </c>
      <c r="F172" s="57" t="s">
        <v>65</v>
      </c>
    </row>
    <row r="173" spans="1:6" x14ac:dyDescent="0.2">
      <c r="A173" s="10" t="s">
        <v>13</v>
      </c>
      <c r="B173" s="11" t="s">
        <v>14</v>
      </c>
      <c r="C173" s="300">
        <v>2</v>
      </c>
      <c r="D173" s="301">
        <v>5.51</v>
      </c>
      <c r="E173" s="12"/>
      <c r="F173" s="8"/>
    </row>
    <row r="174" spans="1:6" x14ac:dyDescent="0.2">
      <c r="A174" s="13" t="s">
        <v>15</v>
      </c>
      <c r="B174" s="14" t="s">
        <v>16</v>
      </c>
      <c r="C174" s="79">
        <f>B170</f>
        <v>4300</v>
      </c>
      <c r="D174" s="236">
        <f>IFERROR(+D173/C173,"-")</f>
        <v>2.7549999999999999</v>
      </c>
      <c r="E174" s="15">
        <f>IFERROR(C174*D174,"-")</f>
        <v>11846.5</v>
      </c>
      <c r="F174" s="8"/>
    </row>
    <row r="175" spans="1:6" x14ac:dyDescent="0.2">
      <c r="A175" s="13" t="s">
        <v>231</v>
      </c>
      <c r="B175" s="14" t="s">
        <v>17</v>
      </c>
      <c r="C175" s="289">
        <v>6</v>
      </c>
      <c r="D175" s="77">
        <v>16.2</v>
      </c>
      <c r="E175" s="15"/>
      <c r="F175" s="8"/>
    </row>
    <row r="176" spans="1:6" x14ac:dyDescent="0.2">
      <c r="A176" s="13" t="s">
        <v>18</v>
      </c>
      <c r="B176" s="14" t="s">
        <v>16</v>
      </c>
      <c r="C176" s="280">
        <f>C174</f>
        <v>4300</v>
      </c>
      <c r="D176" s="290">
        <f>+C175*D175/1000</f>
        <v>9.7199999999999995E-2</v>
      </c>
      <c r="E176" s="15">
        <f>C176*D176</f>
        <v>417.96</v>
      </c>
      <c r="F176" s="8"/>
    </row>
    <row r="177" spans="1:6" x14ac:dyDescent="0.2">
      <c r="A177" s="13" t="s">
        <v>232</v>
      </c>
      <c r="B177" s="14" t="s">
        <v>17</v>
      </c>
      <c r="C177" s="289">
        <v>0.85</v>
      </c>
      <c r="D177" s="77">
        <v>15.8</v>
      </c>
      <c r="E177" s="15"/>
      <c r="F177" s="8"/>
    </row>
    <row r="178" spans="1:6" x14ac:dyDescent="0.2">
      <c r="A178" s="13" t="s">
        <v>19</v>
      </c>
      <c r="B178" s="14" t="s">
        <v>16</v>
      </c>
      <c r="C178" s="280">
        <f>C174</f>
        <v>4300</v>
      </c>
      <c r="D178" s="290">
        <f>+C177*D177/1000</f>
        <v>1.3429999999999999E-2</v>
      </c>
      <c r="E178" s="15">
        <f>C178*D178</f>
        <v>57.748999999999995</v>
      </c>
      <c r="F178" s="8"/>
    </row>
    <row r="179" spans="1:6" x14ac:dyDescent="0.2">
      <c r="A179" s="13" t="s">
        <v>233</v>
      </c>
      <c r="B179" s="14" t="s">
        <v>17</v>
      </c>
      <c r="C179" s="289">
        <v>16</v>
      </c>
      <c r="D179" s="77">
        <v>13.25</v>
      </c>
      <c r="E179" s="15"/>
      <c r="F179" s="8"/>
    </row>
    <row r="180" spans="1:6" x14ac:dyDescent="0.2">
      <c r="A180" s="13" t="s">
        <v>20</v>
      </c>
      <c r="B180" s="14" t="s">
        <v>16</v>
      </c>
      <c r="C180" s="280">
        <f>C174</f>
        <v>4300</v>
      </c>
      <c r="D180" s="290">
        <f>+C179*D179/1000</f>
        <v>0.21199999999999999</v>
      </c>
      <c r="E180" s="15">
        <f>C180*D180</f>
        <v>911.6</v>
      </c>
      <c r="F180" s="8"/>
    </row>
    <row r="181" spans="1:6" x14ac:dyDescent="0.2">
      <c r="A181" s="13" t="s">
        <v>21</v>
      </c>
      <c r="B181" s="14" t="s">
        <v>22</v>
      </c>
      <c r="C181" s="289">
        <v>2</v>
      </c>
      <c r="D181" s="77">
        <v>19.399999999999999</v>
      </c>
      <c r="E181" s="15"/>
      <c r="F181" s="8"/>
    </row>
    <row r="182" spans="1:6" x14ac:dyDescent="0.2">
      <c r="A182" s="13" t="s">
        <v>23</v>
      </c>
      <c r="B182" s="14" t="s">
        <v>16</v>
      </c>
      <c r="C182" s="280">
        <f>C174</f>
        <v>4300</v>
      </c>
      <c r="D182" s="290">
        <f>+C181*D181/1000</f>
        <v>3.8799999999999994E-2</v>
      </c>
      <c r="E182" s="15">
        <f>C182*D182</f>
        <v>166.83999999999997</v>
      </c>
      <c r="F182" s="8"/>
    </row>
    <row r="183" spans="1:6" ht="13.5" thickBot="1" x14ac:dyDescent="0.25">
      <c r="A183" s="81" t="s">
        <v>244</v>
      </c>
      <c r="B183" s="82" t="s">
        <v>119</v>
      </c>
      <c r="C183" s="234"/>
      <c r="D183" s="235">
        <f>IFERROR(D174+D176+D178+D180+D182,0)</f>
        <v>3.1164300000000003</v>
      </c>
      <c r="E183" s="15"/>
      <c r="F183" s="8"/>
    </row>
    <row r="184" spans="1:6" ht="13.5" thickBot="1" x14ac:dyDescent="0.25">
      <c r="A184" s="7"/>
      <c r="B184" s="7"/>
      <c r="C184" s="7"/>
      <c r="D184" s="8"/>
      <c r="E184" s="8"/>
      <c r="F184" s="18">
        <f>SUM(E173:E182)</f>
        <v>13400.648999999999</v>
      </c>
    </row>
    <row r="185" spans="1:6" x14ac:dyDescent="0.2">
      <c r="A185" s="7"/>
      <c r="B185" s="7"/>
      <c r="C185" s="7"/>
      <c r="D185" s="8"/>
      <c r="E185" s="8"/>
      <c r="F185" s="8"/>
    </row>
    <row r="186" spans="1:6" ht="13.5" thickBot="1" x14ac:dyDescent="0.25">
      <c r="A186" s="7" t="s">
        <v>53</v>
      </c>
      <c r="B186" s="7"/>
      <c r="C186" s="7"/>
      <c r="D186" s="8"/>
      <c r="E186" s="8"/>
      <c r="F186" s="8"/>
    </row>
    <row r="187" spans="1:6" ht="13.5" thickBot="1" x14ac:dyDescent="0.25">
      <c r="A187" s="54" t="s">
        <v>62</v>
      </c>
      <c r="B187" s="55" t="s">
        <v>63</v>
      </c>
      <c r="C187" s="55" t="s">
        <v>40</v>
      </c>
      <c r="D187" s="56" t="s">
        <v>230</v>
      </c>
      <c r="E187" s="56" t="s">
        <v>64</v>
      </c>
      <c r="F187" s="57" t="s">
        <v>65</v>
      </c>
    </row>
    <row r="188" spans="1:6" ht="13.5" thickBot="1" x14ac:dyDescent="0.25">
      <c r="A188" s="10" t="s">
        <v>117</v>
      </c>
      <c r="B188" s="11" t="s">
        <v>119</v>
      </c>
      <c r="C188" s="280">
        <f>C174</f>
        <v>4300</v>
      </c>
      <c r="D188" s="84">
        <v>0.84</v>
      </c>
      <c r="E188" s="12">
        <f>C188*D188</f>
        <v>3612</v>
      </c>
      <c r="F188" s="8"/>
    </row>
    <row r="189" spans="1:6" ht="13.5" thickBot="1" x14ac:dyDescent="0.25">
      <c r="A189" s="7"/>
      <c r="B189" s="7"/>
      <c r="C189" s="7"/>
      <c r="D189" s="8"/>
      <c r="E189" s="8"/>
      <c r="F189" s="18">
        <f>E188</f>
        <v>3612</v>
      </c>
    </row>
    <row r="190" spans="1:6" x14ac:dyDescent="0.2">
      <c r="A190" s="7"/>
      <c r="B190" s="7"/>
      <c r="C190" s="7"/>
      <c r="D190" s="8"/>
      <c r="E190" s="8"/>
      <c r="F190" s="8"/>
    </row>
    <row r="191" spans="1:6" ht="13.5" thickBot="1" x14ac:dyDescent="0.25">
      <c r="A191" s="7" t="s">
        <v>60</v>
      </c>
      <c r="B191" s="7"/>
      <c r="C191" s="7"/>
      <c r="D191" s="8"/>
      <c r="E191" s="8"/>
      <c r="F191" s="8"/>
    </row>
    <row r="192" spans="1:6" ht="13.5" thickBot="1" x14ac:dyDescent="0.25">
      <c r="A192" s="54" t="s">
        <v>62</v>
      </c>
      <c r="B192" s="55" t="s">
        <v>63</v>
      </c>
      <c r="C192" s="55" t="s">
        <v>40</v>
      </c>
      <c r="D192" s="56" t="s">
        <v>230</v>
      </c>
      <c r="E192" s="56" t="s">
        <v>64</v>
      </c>
      <c r="F192" s="57" t="s">
        <v>65</v>
      </c>
    </row>
    <row r="193" spans="1:6" x14ac:dyDescent="0.2">
      <c r="A193" s="10" t="s">
        <v>95</v>
      </c>
      <c r="B193" s="11" t="s">
        <v>9</v>
      </c>
      <c r="C193" s="238">
        <v>6</v>
      </c>
      <c r="D193" s="84">
        <v>2250</v>
      </c>
      <c r="E193" s="12">
        <f>C193*D193</f>
        <v>13500</v>
      </c>
      <c r="F193" s="8"/>
    </row>
    <row r="194" spans="1:6" x14ac:dyDescent="0.2">
      <c r="A194" s="10" t="s">
        <v>120</v>
      </c>
      <c r="B194" s="11" t="s">
        <v>9</v>
      </c>
      <c r="C194" s="238">
        <v>2</v>
      </c>
      <c r="D194" s="84"/>
      <c r="E194" s="12"/>
      <c r="F194" s="8"/>
    </row>
    <row r="195" spans="1:6" x14ac:dyDescent="0.2">
      <c r="A195" s="10" t="s">
        <v>70</v>
      </c>
      <c r="B195" s="11" t="s">
        <v>9</v>
      </c>
      <c r="C195" s="84">
        <f>C193*C194</f>
        <v>12</v>
      </c>
      <c r="D195" s="84">
        <v>420</v>
      </c>
      <c r="E195" s="12">
        <f>C195*D195</f>
        <v>5040</v>
      </c>
      <c r="F195" s="8"/>
    </row>
    <row r="196" spans="1:6" x14ac:dyDescent="0.2">
      <c r="A196" s="13" t="s">
        <v>96</v>
      </c>
      <c r="B196" s="14" t="s">
        <v>24</v>
      </c>
      <c r="C196" s="302">
        <v>90000</v>
      </c>
      <c r="D196" s="77">
        <f>E193+E195</f>
        <v>18540</v>
      </c>
      <c r="E196" s="15">
        <f>IFERROR(D196/C196,"-")</f>
        <v>0.20599999999999999</v>
      </c>
      <c r="F196" s="8"/>
    </row>
    <row r="197" spans="1:6" ht="13.5" thickBot="1" x14ac:dyDescent="0.25">
      <c r="A197" s="13" t="s">
        <v>55</v>
      </c>
      <c r="B197" s="14" t="s">
        <v>16</v>
      </c>
      <c r="C197" s="280">
        <f>B170</f>
        <v>4300</v>
      </c>
      <c r="D197" s="77">
        <f>E196</f>
        <v>0.20599999999999999</v>
      </c>
      <c r="E197" s="15">
        <f>IFERROR(C197*D197,0)</f>
        <v>885.8</v>
      </c>
      <c r="F197" s="8"/>
    </row>
    <row r="198" spans="1:6" ht="13.5" thickBot="1" x14ac:dyDescent="0.25">
      <c r="A198" s="7"/>
      <c r="B198" s="7"/>
      <c r="C198" s="7"/>
      <c r="D198" s="8"/>
      <c r="E198" s="8"/>
      <c r="F198" s="18">
        <f>E197</f>
        <v>885.8</v>
      </c>
    </row>
    <row r="199" spans="1:6" x14ac:dyDescent="0.2">
      <c r="A199" s="7"/>
      <c r="B199" s="7"/>
      <c r="C199" s="7"/>
      <c r="D199" s="8"/>
      <c r="E199" s="8"/>
      <c r="F199" s="8"/>
    </row>
    <row r="200" spans="1:6" ht="13.5" thickBot="1" x14ac:dyDescent="0.25">
      <c r="A200" s="7"/>
      <c r="B200" s="7"/>
      <c r="C200" s="7"/>
      <c r="D200" s="8"/>
      <c r="E200" s="8"/>
      <c r="F200" s="8"/>
    </row>
    <row r="201" spans="1:6" ht="13.5" thickBot="1" x14ac:dyDescent="0.25">
      <c r="A201" s="21" t="s">
        <v>218</v>
      </c>
      <c r="B201" s="22"/>
      <c r="C201" s="22"/>
      <c r="D201" s="23"/>
      <c r="E201" s="24"/>
      <c r="F201" s="18">
        <f>+SUM(F130:F200)</f>
        <v>21145.450999999997</v>
      </c>
    </row>
    <row r="202" spans="1:6" x14ac:dyDescent="0.2">
      <c r="A202" s="7"/>
      <c r="B202" s="7"/>
      <c r="C202" s="7"/>
      <c r="D202" s="8"/>
      <c r="E202" s="8"/>
      <c r="F202" s="8"/>
    </row>
    <row r="203" spans="1:6" x14ac:dyDescent="0.2">
      <c r="A203" s="31" t="s">
        <v>74</v>
      </c>
      <c r="B203" s="31"/>
      <c r="C203" s="31"/>
      <c r="D203" s="32"/>
      <c r="E203" s="32"/>
      <c r="F203" s="30"/>
    </row>
    <row r="204" spans="1:6" ht="13.5" thickBot="1" x14ac:dyDescent="0.25">
      <c r="A204" s="7"/>
      <c r="B204" s="7"/>
      <c r="C204" s="7"/>
      <c r="D204" s="8"/>
      <c r="E204" s="8"/>
      <c r="F204" s="8"/>
    </row>
    <row r="205" spans="1:6" ht="13.5" thickBot="1" x14ac:dyDescent="0.25">
      <c r="A205" s="54" t="s">
        <v>62</v>
      </c>
      <c r="B205" s="55" t="s">
        <v>63</v>
      </c>
      <c r="C205" s="55" t="s">
        <v>40</v>
      </c>
      <c r="D205" s="56" t="s">
        <v>230</v>
      </c>
      <c r="E205" s="56" t="s">
        <v>64</v>
      </c>
      <c r="F205" s="57" t="s">
        <v>65</v>
      </c>
    </row>
    <row r="206" spans="1:6" x14ac:dyDescent="0.2">
      <c r="A206" s="13" t="s">
        <v>71</v>
      </c>
      <c r="B206" s="14" t="s">
        <v>9</v>
      </c>
      <c r="C206" s="283">
        <v>0.16666666666666666</v>
      </c>
      <c r="D206" s="84">
        <v>62</v>
      </c>
      <c r="E206" s="15">
        <f>C206*D206</f>
        <v>10.333333333333332</v>
      </c>
      <c r="F206" s="49"/>
    </row>
    <row r="207" spans="1:6" x14ac:dyDescent="0.2">
      <c r="A207" s="13" t="s">
        <v>26</v>
      </c>
      <c r="B207" s="14" t="s">
        <v>9</v>
      </c>
      <c r="C207" s="283">
        <v>0.5</v>
      </c>
      <c r="D207" s="84">
        <v>29.9</v>
      </c>
      <c r="E207" s="15">
        <f>C207*D207</f>
        <v>14.95</v>
      </c>
      <c r="F207" s="49"/>
    </row>
    <row r="208" spans="1:6" ht="13.5" thickBot="1" x14ac:dyDescent="0.25">
      <c r="A208" s="13" t="s">
        <v>27</v>
      </c>
      <c r="B208" s="14" t="s">
        <v>9</v>
      </c>
      <c r="C208" s="283">
        <v>1</v>
      </c>
      <c r="D208" s="84">
        <v>19.88</v>
      </c>
      <c r="E208" s="15">
        <f>C208*D208</f>
        <v>19.88</v>
      </c>
      <c r="F208" s="49"/>
    </row>
    <row r="209" spans="1:6" ht="13.5" thickBot="1" x14ac:dyDescent="0.25">
      <c r="A209" s="31"/>
      <c r="B209" s="31"/>
      <c r="C209" s="31"/>
      <c r="D209" s="31"/>
      <c r="E209" s="32"/>
      <c r="F209" s="18">
        <f>SUM(E206:E208)</f>
        <v>45.163333333333327</v>
      </c>
    </row>
    <row r="210" spans="1:6" ht="13.5" thickBot="1" x14ac:dyDescent="0.25">
      <c r="A210" s="7"/>
      <c r="B210" s="7"/>
      <c r="C210" s="7"/>
      <c r="D210" s="8"/>
      <c r="E210" s="8"/>
      <c r="F210" s="8"/>
    </row>
    <row r="211" spans="1:6" ht="13.5" thickBot="1" x14ac:dyDescent="0.25">
      <c r="A211" s="21" t="s">
        <v>219</v>
      </c>
      <c r="B211" s="22"/>
      <c r="C211" s="22"/>
      <c r="D211" s="23"/>
      <c r="E211" s="24"/>
      <c r="F211" s="18">
        <f>+F209</f>
        <v>45.163333333333327</v>
      </c>
    </row>
    <row r="212" spans="1:6" x14ac:dyDescent="0.2">
      <c r="A212" s="7"/>
      <c r="B212" s="7"/>
      <c r="C212" s="7"/>
      <c r="D212" s="8"/>
      <c r="E212" s="8"/>
      <c r="F212" s="8"/>
    </row>
    <row r="213" spans="1:6" x14ac:dyDescent="0.2">
      <c r="A213" s="31" t="s">
        <v>75</v>
      </c>
      <c r="B213" s="31"/>
      <c r="C213" s="31"/>
      <c r="D213" s="32"/>
      <c r="E213" s="32"/>
      <c r="F213" s="30"/>
    </row>
    <row r="214" spans="1:6" ht="13.5" thickBot="1" x14ac:dyDescent="0.25">
      <c r="A214" s="7"/>
      <c r="B214" s="7"/>
      <c r="C214" s="7"/>
      <c r="D214" s="8"/>
      <c r="E214" s="8"/>
      <c r="F214" s="8"/>
    </row>
    <row r="215" spans="1:6" ht="13.5" thickBot="1" x14ac:dyDescent="0.25">
      <c r="A215" s="54" t="s">
        <v>62</v>
      </c>
      <c r="B215" s="55" t="s">
        <v>63</v>
      </c>
      <c r="C215" s="55" t="s">
        <v>40</v>
      </c>
      <c r="D215" s="56" t="s">
        <v>230</v>
      </c>
      <c r="E215" s="56" t="s">
        <v>64</v>
      </c>
      <c r="F215" s="57" t="s">
        <v>65</v>
      </c>
    </row>
    <row r="216" spans="1:6" x14ac:dyDescent="0.2">
      <c r="A216" s="13" t="s">
        <v>216</v>
      </c>
      <c r="B216" s="47" t="s">
        <v>57</v>
      </c>
      <c r="C216" s="63">
        <f>C130</f>
        <v>1</v>
      </c>
      <c r="D216" s="77">
        <v>150</v>
      </c>
      <c r="E216" s="15">
        <f>+D216*C216</f>
        <v>150</v>
      </c>
      <c r="F216" s="49"/>
    </row>
    <row r="217" spans="1:6" x14ac:dyDescent="0.2">
      <c r="A217" s="13" t="s">
        <v>59</v>
      </c>
      <c r="B217" s="47" t="s">
        <v>7</v>
      </c>
      <c r="C217" s="125">
        <v>60</v>
      </c>
      <c r="D217" s="74">
        <f>SUM(E216:E216)</f>
        <v>150</v>
      </c>
      <c r="E217" s="74">
        <f>+D217/C217</f>
        <v>2.5</v>
      </c>
      <c r="F217" s="49"/>
    </row>
    <row r="218" spans="1:6" x14ac:dyDescent="0.2">
      <c r="A218" s="13" t="s">
        <v>217</v>
      </c>
      <c r="B218" s="14" t="s">
        <v>9</v>
      </c>
      <c r="C218" s="63">
        <f>+C216</f>
        <v>1</v>
      </c>
      <c r="D218" s="77">
        <v>89</v>
      </c>
      <c r="E218" s="15">
        <f>C218*D218</f>
        <v>89</v>
      </c>
      <c r="F218" s="49"/>
    </row>
    <row r="219" spans="1:6" ht="13.5" thickBot="1" x14ac:dyDescent="0.25">
      <c r="A219" s="13" t="s">
        <v>37</v>
      </c>
      <c r="B219" s="47" t="s">
        <v>7</v>
      </c>
      <c r="C219" s="125">
        <v>1</v>
      </c>
      <c r="D219" s="74">
        <f>+E218</f>
        <v>89</v>
      </c>
      <c r="E219" s="74">
        <f>+D219/C219</f>
        <v>89</v>
      </c>
      <c r="F219" s="49"/>
    </row>
    <row r="220" spans="1:6" ht="13.5" thickBot="1" x14ac:dyDescent="0.25">
      <c r="A220" s="75"/>
      <c r="B220" s="75"/>
      <c r="C220" s="75"/>
      <c r="D220" s="97" t="s">
        <v>192</v>
      </c>
      <c r="E220" s="45">
        <f>$B$38</f>
        <v>0.6</v>
      </c>
      <c r="F220" s="76">
        <f>(E217+E219)*E220</f>
        <v>54.9</v>
      </c>
    </row>
    <row r="221" spans="1:6" ht="13.5" thickBot="1" x14ac:dyDescent="0.25">
      <c r="A221" s="7"/>
      <c r="B221" s="7"/>
      <c r="C221" s="7"/>
      <c r="D221" s="8"/>
      <c r="E221" s="8"/>
      <c r="F221" s="8"/>
    </row>
    <row r="222" spans="1:6" ht="13.5" thickBot="1" x14ac:dyDescent="0.25">
      <c r="A222" s="21" t="s">
        <v>215</v>
      </c>
      <c r="B222" s="22"/>
      <c r="C222" s="22"/>
      <c r="D222" s="23"/>
      <c r="E222" s="24"/>
      <c r="F222" s="18">
        <f>+F220</f>
        <v>54.9</v>
      </c>
    </row>
    <row r="223" spans="1:6" x14ac:dyDescent="0.2">
      <c r="A223" s="7"/>
      <c r="B223" s="7"/>
      <c r="C223" s="7"/>
      <c r="D223" s="8"/>
      <c r="E223" s="8"/>
      <c r="F223" s="8"/>
    </row>
    <row r="224" spans="1:6" x14ac:dyDescent="0.2">
      <c r="A224" s="31" t="s">
        <v>292</v>
      </c>
      <c r="B224" s="31"/>
      <c r="C224" s="31"/>
      <c r="D224" s="32"/>
      <c r="E224" s="32"/>
      <c r="F224" s="30"/>
    </row>
    <row r="225" spans="1:8" ht="13.5" thickBot="1" x14ac:dyDescent="0.25">
      <c r="A225" s="7"/>
      <c r="B225" s="7"/>
      <c r="C225" s="7"/>
      <c r="D225" s="8"/>
      <c r="E225" s="8"/>
      <c r="F225" s="8"/>
    </row>
    <row r="226" spans="1:8" ht="13.5" thickBot="1" x14ac:dyDescent="0.25">
      <c r="A226" s="54" t="s">
        <v>62</v>
      </c>
      <c r="B226" s="55" t="s">
        <v>63</v>
      </c>
      <c r="C226" s="55" t="s">
        <v>40</v>
      </c>
      <c r="D226" s="56" t="s">
        <v>230</v>
      </c>
      <c r="E226" s="56" t="s">
        <v>64</v>
      </c>
      <c r="F226" s="57" t="s">
        <v>65</v>
      </c>
    </row>
    <row r="227" spans="1:8" x14ac:dyDescent="0.2">
      <c r="A227" s="297" t="s">
        <v>293</v>
      </c>
      <c r="B227" s="298" t="s">
        <v>7</v>
      </c>
      <c r="C227" s="283">
        <v>100</v>
      </c>
      <c r="D227" s="84">
        <v>131</v>
      </c>
      <c r="E227" s="15">
        <f>C227*D227</f>
        <v>13100</v>
      </c>
      <c r="F227" s="49"/>
      <c r="G227" s="304">
        <f>D227*1.29</f>
        <v>168.99</v>
      </c>
    </row>
    <row r="228" spans="1:8" ht="13.5" thickBot="1" x14ac:dyDescent="0.25">
      <c r="A228" s="297" t="s">
        <v>294</v>
      </c>
      <c r="B228" s="298" t="s">
        <v>7</v>
      </c>
      <c r="C228" s="283">
        <v>1</v>
      </c>
      <c r="D228" s="84">
        <f>E227</f>
        <v>13100</v>
      </c>
      <c r="E228" s="15">
        <f>C228*D228</f>
        <v>13100</v>
      </c>
      <c r="F228" s="49"/>
      <c r="G228" s="304">
        <f>G227-D227</f>
        <v>37.990000000000009</v>
      </c>
      <c r="H228" s="304">
        <f>G228*100</f>
        <v>3799.0000000000009</v>
      </c>
    </row>
    <row r="229" spans="1:8" ht="13.5" thickBot="1" x14ac:dyDescent="0.25">
      <c r="A229" s="31"/>
      <c r="B229" s="31"/>
      <c r="C229" s="31"/>
      <c r="D229" s="31"/>
      <c r="E229" s="32"/>
      <c r="F229" s="18">
        <f>E228</f>
        <v>13100</v>
      </c>
    </row>
    <row r="230" spans="1:8" ht="13.5" thickBot="1" x14ac:dyDescent="0.25">
      <c r="A230" s="7"/>
      <c r="B230" s="7"/>
      <c r="C230" s="7"/>
      <c r="D230" s="8"/>
      <c r="E230" s="8"/>
      <c r="F230" s="8"/>
    </row>
    <row r="231" spans="1:8" ht="13.5" thickBot="1" x14ac:dyDescent="0.25">
      <c r="A231" s="21" t="s">
        <v>219</v>
      </c>
      <c r="B231" s="22"/>
      <c r="C231" s="22"/>
      <c r="D231" s="23"/>
      <c r="E231" s="24"/>
      <c r="F231" s="18">
        <f>+F229</f>
        <v>13100</v>
      </c>
    </row>
    <row r="232" spans="1:8" ht="13.5" thickBot="1" x14ac:dyDescent="0.25">
      <c r="A232" s="7"/>
      <c r="B232" s="7"/>
      <c r="C232" s="7"/>
      <c r="D232" s="8"/>
      <c r="E232" s="8"/>
      <c r="F232" s="8"/>
    </row>
    <row r="233" spans="1:8" ht="13.5" thickBot="1" x14ac:dyDescent="0.25">
      <c r="A233" s="21" t="s">
        <v>220</v>
      </c>
      <c r="B233" s="25"/>
      <c r="C233" s="25"/>
      <c r="D233" s="26"/>
      <c r="E233" s="27"/>
      <c r="F233" s="19">
        <f>+F89+F122+F201+F211+F222+F231</f>
        <v>45307.40823398855</v>
      </c>
    </row>
    <row r="234" spans="1:8" x14ac:dyDescent="0.2">
      <c r="A234" s="7"/>
      <c r="B234" s="7"/>
      <c r="C234" s="7"/>
      <c r="D234" s="8"/>
      <c r="E234" s="8"/>
      <c r="F234" s="8"/>
    </row>
    <row r="235" spans="1:8" x14ac:dyDescent="0.2">
      <c r="A235" s="9" t="s">
        <v>295</v>
      </c>
      <c r="B235" s="7"/>
      <c r="C235" s="7"/>
      <c r="D235" s="8"/>
      <c r="E235" s="8"/>
      <c r="F235" s="8"/>
    </row>
    <row r="236" spans="1:8" ht="13.5" thickBot="1" x14ac:dyDescent="0.25">
      <c r="A236" s="7"/>
      <c r="B236" s="7"/>
      <c r="C236" s="7"/>
      <c r="D236" s="8"/>
      <c r="E236" s="8"/>
      <c r="F236" s="8"/>
    </row>
    <row r="237" spans="1:8" ht="13.5" thickBot="1" x14ac:dyDescent="0.25">
      <c r="A237" s="54" t="s">
        <v>62</v>
      </c>
      <c r="B237" s="55" t="s">
        <v>63</v>
      </c>
      <c r="C237" s="55" t="s">
        <v>40</v>
      </c>
      <c r="D237" s="56" t="s">
        <v>230</v>
      </c>
      <c r="E237" s="56" t="s">
        <v>64</v>
      </c>
      <c r="F237" s="57" t="s">
        <v>65</v>
      </c>
    </row>
    <row r="238" spans="1:8" ht="13.5" thickBot="1" x14ac:dyDescent="0.25">
      <c r="A238" s="10" t="s">
        <v>36</v>
      </c>
      <c r="B238" s="11" t="s">
        <v>2</v>
      </c>
      <c r="C238" s="77">
        <f>'4.BDI'!C14*100</f>
        <v>29.26</v>
      </c>
      <c r="D238" s="12">
        <f>+F233</f>
        <v>45307.40823398855</v>
      </c>
      <c r="E238" s="12">
        <f>C238*D238/100</f>
        <v>13256.94764926505</v>
      </c>
      <c r="F238" s="8"/>
    </row>
    <row r="239" spans="1:8" ht="13.5" thickBot="1" x14ac:dyDescent="0.25">
      <c r="A239" s="7"/>
      <c r="B239" s="7"/>
      <c r="C239" s="7"/>
      <c r="D239" s="8"/>
      <c r="E239" s="8"/>
      <c r="F239" s="18">
        <f>+E238</f>
        <v>13256.94764926505</v>
      </c>
    </row>
    <row r="240" spans="1:8" ht="13.5" thickBot="1" x14ac:dyDescent="0.25">
      <c r="A240" s="7"/>
      <c r="B240" s="7"/>
      <c r="C240" s="7"/>
      <c r="D240" s="8"/>
      <c r="E240" s="8"/>
      <c r="F240" s="8"/>
    </row>
    <row r="241" spans="1:8" ht="13.5" thickBot="1" x14ac:dyDescent="0.25">
      <c r="A241" s="21" t="s">
        <v>235</v>
      </c>
      <c r="B241" s="25"/>
      <c r="C241" s="25"/>
      <c r="D241" s="26"/>
      <c r="E241" s="27"/>
      <c r="F241" s="19">
        <f>F239</f>
        <v>13256.94764926505</v>
      </c>
    </row>
    <row r="242" spans="1:8" x14ac:dyDescent="0.2">
      <c r="A242" s="31"/>
      <c r="B242" s="31"/>
      <c r="C242" s="31"/>
      <c r="D242" s="32"/>
      <c r="E242" s="32"/>
      <c r="F242" s="30"/>
    </row>
    <row r="243" spans="1:8" ht="13.5" thickBot="1" x14ac:dyDescent="0.25">
      <c r="A243" s="7"/>
      <c r="B243" s="7"/>
      <c r="C243" s="7"/>
      <c r="D243" s="8"/>
      <c r="E243" s="8"/>
      <c r="F243" s="8"/>
    </row>
    <row r="244" spans="1:8" ht="13.5" thickBot="1" x14ac:dyDescent="0.25">
      <c r="A244" s="21" t="s">
        <v>221</v>
      </c>
      <c r="B244" s="25"/>
      <c r="C244" s="25"/>
      <c r="D244" s="26"/>
      <c r="E244" s="27"/>
      <c r="F244" s="19">
        <f>F233+F241</f>
        <v>58564.3558832536</v>
      </c>
    </row>
    <row r="245" spans="1:8" ht="15.75" x14ac:dyDescent="0.2">
      <c r="A245" s="50"/>
      <c r="B245" s="50"/>
      <c r="C245" s="50"/>
      <c r="D245" s="51"/>
      <c r="E245" s="51"/>
      <c r="F245" s="51">
        <f>F244-H228</f>
        <v>54765.3558832536</v>
      </c>
    </row>
    <row r="246" spans="1:8" ht="14.25" x14ac:dyDescent="0.2">
      <c r="A246" s="6"/>
      <c r="B246" s="6"/>
      <c r="C246" s="6"/>
      <c r="D246" s="33"/>
      <c r="E246" s="33"/>
      <c r="F246" s="8">
        <v>76658.47</v>
      </c>
      <c r="G246" s="304">
        <f>F246-F245</f>
        <v>21893.114116746401</v>
      </c>
      <c r="H246" s="307">
        <f>G246*60</f>
        <v>1313586.847004784</v>
      </c>
    </row>
    <row r="247" spans="1:8" x14ac:dyDescent="0.2">
      <c r="A247" s="217" t="s">
        <v>214</v>
      </c>
      <c r="B247" s="218"/>
      <c r="C247" s="218"/>
      <c r="D247" s="291">
        <v>100</v>
      </c>
      <c r="E247" s="219" t="s">
        <v>25</v>
      </c>
      <c r="F247" s="8"/>
    </row>
    <row r="248" spans="1:8" ht="13.5" thickBot="1" x14ac:dyDescent="0.25">
      <c r="A248" s="7"/>
      <c r="B248" s="7"/>
      <c r="C248" s="7"/>
      <c r="D248" s="8"/>
      <c r="E248" s="8"/>
      <c r="F248" s="8"/>
    </row>
    <row r="249" spans="1:8" ht="13.5" thickBot="1" x14ac:dyDescent="0.25">
      <c r="A249" s="21" t="s">
        <v>69</v>
      </c>
      <c r="B249" s="22"/>
      <c r="C249" s="22"/>
      <c r="D249" s="23"/>
      <c r="E249" s="220" t="s">
        <v>32</v>
      </c>
      <c r="F249" s="221">
        <f>IFERROR(F244/D247,"-")</f>
        <v>585.64355883253597</v>
      </c>
    </row>
  </sheetData>
  <mergeCells count="7">
    <mergeCell ref="A34:D34"/>
    <mergeCell ref="A12:C12"/>
    <mergeCell ref="A1:F1"/>
    <mergeCell ref="A2:F2"/>
    <mergeCell ref="A29:D29"/>
    <mergeCell ref="A4:F4"/>
    <mergeCell ref="A28:E28"/>
  </mergeCells>
  <hyperlinks>
    <hyperlink ref="A144" location="AbaRemun" display="3.1.2. Remuneração do Capital"/>
    <hyperlink ref="A128" location="AbaDeprec" display="3.1.1. Depreciaçã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sqref="A1:XFD5"/>
    </sheetView>
  </sheetViews>
  <sheetFormatPr defaultColWidth="8.85546875" defaultRowHeight="12.75" x14ac:dyDescent="0.2"/>
  <cols>
    <col min="1" max="1" width="13.42578125" style="1" customWidth="1"/>
    <col min="2" max="2" width="39.42578125" style="1" bestFit="1" customWidth="1"/>
    <col min="3" max="3" width="14.42578125" style="1" customWidth="1"/>
    <col min="4" max="4" width="37.28515625" style="128" customWidth="1"/>
    <col min="5" max="10" width="8.85546875" style="1"/>
    <col min="11" max="11" width="11" style="1" bestFit="1" customWidth="1"/>
    <col min="12" max="16384" width="8.85546875" style="1"/>
  </cols>
  <sheetData>
    <row r="1" spans="1:12" ht="13.5" thickBot="1" x14ac:dyDescent="0.25"/>
    <row r="2" spans="1:12" ht="18" x14ac:dyDescent="0.2">
      <c r="A2" s="324" t="s">
        <v>224</v>
      </c>
      <c r="B2" s="325"/>
      <c r="C2" s="326"/>
      <c r="D2" s="120"/>
      <c r="E2" s="120"/>
      <c r="F2" s="120"/>
    </row>
    <row r="3" spans="1:12" ht="14.25" x14ac:dyDescent="0.2">
      <c r="A3" s="139" t="s">
        <v>138</v>
      </c>
      <c r="B3" s="140" t="s">
        <v>139</v>
      </c>
      <c r="C3" s="141" t="s">
        <v>140</v>
      </c>
      <c r="D3" s="142"/>
    </row>
    <row r="4" spans="1:12" ht="14.25" x14ac:dyDescent="0.2">
      <c r="A4" s="139" t="s">
        <v>141</v>
      </c>
      <c r="B4" s="140" t="s">
        <v>41</v>
      </c>
      <c r="C4" s="143">
        <v>0.2</v>
      </c>
      <c r="D4" s="142"/>
      <c r="F4" s="128"/>
      <c r="G4" s="128"/>
      <c r="H4" s="128"/>
      <c r="I4" s="128"/>
      <c r="J4" s="128"/>
      <c r="K4" s="128"/>
      <c r="L4" s="128"/>
    </row>
    <row r="5" spans="1:12" ht="14.25" x14ac:dyDescent="0.2">
      <c r="A5" s="139" t="s">
        <v>142</v>
      </c>
      <c r="B5" s="140" t="s">
        <v>143</v>
      </c>
      <c r="C5" s="143">
        <v>1.4999999999999999E-2</v>
      </c>
      <c r="D5" s="142"/>
      <c r="F5" s="128"/>
      <c r="G5" s="128"/>
      <c r="H5" s="128"/>
      <c r="I5" s="128"/>
      <c r="J5" s="128"/>
      <c r="K5" s="128"/>
      <c r="L5" s="128"/>
    </row>
    <row r="6" spans="1:12" ht="14.25" x14ac:dyDescent="0.2">
      <c r="A6" s="139" t="s">
        <v>144</v>
      </c>
      <c r="B6" s="140" t="s">
        <v>145</v>
      </c>
      <c r="C6" s="143">
        <v>0.01</v>
      </c>
      <c r="D6" s="142"/>
      <c r="F6" s="128"/>
      <c r="G6" s="128"/>
      <c r="H6" s="128"/>
      <c r="I6" s="128"/>
      <c r="J6" s="128"/>
      <c r="K6" s="128"/>
      <c r="L6" s="128"/>
    </row>
    <row r="7" spans="1:12" ht="14.25" x14ac:dyDescent="0.2">
      <c r="A7" s="139" t="s">
        <v>146</v>
      </c>
      <c r="B7" s="140" t="s">
        <v>147</v>
      </c>
      <c r="C7" s="143">
        <v>2E-3</v>
      </c>
      <c r="D7" s="142"/>
      <c r="F7" s="128"/>
      <c r="G7" s="128"/>
      <c r="H7" s="128"/>
      <c r="I7" s="128"/>
      <c r="J7" s="128"/>
      <c r="K7" s="128"/>
      <c r="L7" s="128"/>
    </row>
    <row r="8" spans="1:12" ht="14.25" x14ac:dyDescent="0.2">
      <c r="A8" s="139" t="s">
        <v>148</v>
      </c>
      <c r="B8" s="140" t="s">
        <v>149</v>
      </c>
      <c r="C8" s="143">
        <v>6.0000000000000001E-3</v>
      </c>
      <c r="D8" s="142"/>
      <c r="F8" s="128"/>
      <c r="G8" s="128"/>
      <c r="H8" s="128"/>
      <c r="I8" s="128"/>
      <c r="J8" s="128"/>
      <c r="K8" s="128"/>
      <c r="L8" s="128"/>
    </row>
    <row r="9" spans="1:12" ht="14.25" x14ac:dyDescent="0.2">
      <c r="A9" s="139" t="s">
        <v>150</v>
      </c>
      <c r="B9" s="140" t="s">
        <v>151</v>
      </c>
      <c r="C9" s="143">
        <v>2.5000000000000001E-2</v>
      </c>
      <c r="D9" s="142"/>
      <c r="F9" s="128"/>
      <c r="G9" s="128"/>
      <c r="H9" s="128"/>
      <c r="I9" s="128"/>
      <c r="J9" s="128"/>
      <c r="K9" s="128"/>
      <c r="L9" s="128"/>
    </row>
    <row r="10" spans="1:12" ht="14.25" x14ac:dyDescent="0.2">
      <c r="A10" s="139" t="s">
        <v>152</v>
      </c>
      <c r="B10" s="140" t="s">
        <v>153</v>
      </c>
      <c r="C10" s="143">
        <v>0.03</v>
      </c>
      <c r="D10" s="142"/>
      <c r="F10" s="128"/>
      <c r="G10" s="128"/>
      <c r="H10" s="128"/>
      <c r="I10" s="128"/>
      <c r="J10" s="128"/>
      <c r="K10" s="128"/>
      <c r="L10" s="128"/>
    </row>
    <row r="11" spans="1:12" ht="14.25" x14ac:dyDescent="0.2">
      <c r="A11" s="139" t="s">
        <v>154</v>
      </c>
      <c r="B11" s="140" t="s">
        <v>42</v>
      </c>
      <c r="C11" s="143">
        <v>0.08</v>
      </c>
      <c r="D11" s="144"/>
      <c r="F11" s="128"/>
      <c r="G11" s="128"/>
      <c r="H11" s="128"/>
      <c r="I11" s="128"/>
      <c r="J11" s="128"/>
      <c r="K11" s="128"/>
      <c r="L11" s="128"/>
    </row>
    <row r="12" spans="1:12" ht="15" x14ac:dyDescent="0.2">
      <c r="A12" s="139" t="s">
        <v>155</v>
      </c>
      <c r="B12" s="145" t="s">
        <v>156</v>
      </c>
      <c r="C12" s="146">
        <f>SUM(C4:C11)</f>
        <v>0.36800000000000005</v>
      </c>
      <c r="D12" s="144"/>
      <c r="F12" s="128"/>
      <c r="G12" s="128"/>
      <c r="H12" s="128"/>
      <c r="I12" s="128"/>
      <c r="J12" s="128"/>
      <c r="K12" s="128"/>
      <c r="L12" s="128"/>
    </row>
    <row r="13" spans="1:12" ht="15" x14ac:dyDescent="0.2">
      <c r="A13" s="147"/>
      <c r="B13" s="148"/>
      <c r="C13" s="149"/>
      <c r="D13" s="144"/>
      <c r="F13" s="128"/>
      <c r="G13" s="128"/>
      <c r="H13" s="128"/>
      <c r="I13" s="128"/>
      <c r="J13" s="128"/>
      <c r="K13" s="128"/>
      <c r="L13" s="128"/>
    </row>
    <row r="14" spans="1:12" ht="14.25" x14ac:dyDescent="0.2">
      <c r="A14" s="139" t="s">
        <v>157</v>
      </c>
      <c r="B14" s="150" t="s">
        <v>158</v>
      </c>
      <c r="C14" s="143">
        <f>ROUND(IF('3.CAGED'!C23&gt;24,(1-12/'3.CAGED'!C23)*0.1111,0.1111-C23),4)</f>
        <v>6.1899999999999997E-2</v>
      </c>
      <c r="D14" s="144"/>
      <c r="F14" s="128"/>
      <c r="G14" s="128"/>
      <c r="H14" s="128"/>
      <c r="I14" s="128"/>
      <c r="J14" s="128"/>
      <c r="K14" s="128"/>
      <c r="L14" s="128"/>
    </row>
    <row r="15" spans="1:12" ht="14.25" x14ac:dyDescent="0.2">
      <c r="A15" s="139" t="s">
        <v>159</v>
      </c>
      <c r="B15" s="150" t="s">
        <v>160</v>
      </c>
      <c r="C15" s="143">
        <f>ROUND('3.CAGED'!C27/'3.CAGED'!C24,4)</f>
        <v>8.3299999999999999E-2</v>
      </c>
      <c r="D15" s="144"/>
      <c r="F15" s="128"/>
      <c r="G15" s="128"/>
      <c r="H15" s="128"/>
      <c r="I15" s="128"/>
      <c r="J15" s="128"/>
      <c r="K15" s="128"/>
      <c r="L15" s="128"/>
    </row>
    <row r="16" spans="1:12" ht="14.25" x14ac:dyDescent="0.2">
      <c r="A16" s="139" t="s">
        <v>212</v>
      </c>
      <c r="B16" s="150" t="s">
        <v>162</v>
      </c>
      <c r="C16" s="143">
        <v>5.9999999999999995E-4</v>
      </c>
      <c r="D16" s="144"/>
      <c r="F16" s="128"/>
      <c r="G16" s="128"/>
      <c r="H16" s="128"/>
      <c r="I16" s="128"/>
      <c r="J16" s="128"/>
      <c r="K16" s="128"/>
      <c r="L16" s="128"/>
    </row>
    <row r="17" spans="1:12" ht="14.25" x14ac:dyDescent="0.2">
      <c r="A17" s="139" t="s">
        <v>161</v>
      </c>
      <c r="B17" s="150" t="s">
        <v>164</v>
      </c>
      <c r="C17" s="143">
        <v>8.2000000000000007E-3</v>
      </c>
      <c r="D17" s="144"/>
      <c r="F17" s="128"/>
      <c r="G17" s="128"/>
      <c r="H17" s="128"/>
      <c r="I17" s="128"/>
      <c r="J17" s="128"/>
      <c r="K17" s="128"/>
      <c r="L17" s="128"/>
    </row>
    <row r="18" spans="1:12" ht="14.25" x14ac:dyDescent="0.2">
      <c r="A18" s="139" t="s">
        <v>163</v>
      </c>
      <c r="B18" s="150" t="s">
        <v>166</v>
      </c>
      <c r="C18" s="143">
        <v>3.0999999999999999E-3</v>
      </c>
      <c r="D18" s="144"/>
      <c r="F18" s="128"/>
      <c r="G18" s="128"/>
      <c r="H18" s="128"/>
      <c r="I18" s="128"/>
      <c r="J18" s="128"/>
      <c r="K18" s="128"/>
      <c r="L18" s="128"/>
    </row>
    <row r="19" spans="1:12" ht="14.25" x14ac:dyDescent="0.2">
      <c r="A19" s="139" t="s">
        <v>165</v>
      </c>
      <c r="B19" s="150" t="s">
        <v>167</v>
      </c>
      <c r="C19" s="143">
        <v>1.66E-2</v>
      </c>
      <c r="D19" s="144"/>
      <c r="F19" s="128"/>
      <c r="G19" s="128"/>
      <c r="H19" s="128"/>
      <c r="I19" s="128"/>
      <c r="J19" s="128"/>
      <c r="K19" s="128"/>
      <c r="L19" s="128"/>
    </row>
    <row r="20" spans="1:12" ht="15" x14ac:dyDescent="0.2">
      <c r="A20" s="139" t="s">
        <v>168</v>
      </c>
      <c r="B20" s="145" t="s">
        <v>169</v>
      </c>
      <c r="C20" s="146">
        <f>SUM(C14:C19)</f>
        <v>0.17369999999999999</v>
      </c>
      <c r="D20" s="151"/>
      <c r="F20" s="128"/>
      <c r="G20" s="128"/>
      <c r="H20" s="128"/>
      <c r="I20" s="128"/>
      <c r="J20" s="128"/>
      <c r="K20" s="128"/>
      <c r="L20" s="128"/>
    </row>
    <row r="21" spans="1:12" ht="15" x14ac:dyDescent="0.2">
      <c r="A21" s="147"/>
      <c r="B21" s="148"/>
      <c r="C21" s="149"/>
      <c r="D21" s="151"/>
      <c r="F21" s="128"/>
      <c r="G21" s="128"/>
      <c r="H21" s="128"/>
      <c r="I21" s="128"/>
      <c r="J21" s="128"/>
      <c r="K21" s="128"/>
      <c r="L21" s="128"/>
    </row>
    <row r="22" spans="1:12" ht="14.25" x14ac:dyDescent="0.2">
      <c r="A22" s="139" t="s">
        <v>170</v>
      </c>
      <c r="B22" s="140" t="s">
        <v>171</v>
      </c>
      <c r="C22" s="143">
        <f>ROUND(('3.CAGED'!C28) *'3.CAGED'!C21/'3.CAGED'!C24,4)</f>
        <v>2.5600000000000001E-2</v>
      </c>
      <c r="D22" s="144"/>
      <c r="E22" s="152"/>
      <c r="F22" s="128"/>
      <c r="G22" s="128"/>
      <c r="H22" s="128"/>
      <c r="I22" s="128"/>
      <c r="J22" s="128"/>
      <c r="K22" s="128"/>
      <c r="L22" s="128"/>
    </row>
    <row r="23" spans="1:12" ht="14.25" x14ac:dyDescent="0.2">
      <c r="A23" s="139" t="s">
        <v>211</v>
      </c>
      <c r="B23" s="140" t="s">
        <v>173</v>
      </c>
      <c r="C23" s="143">
        <f>ROUND(IF('3.CAGED'!C23&gt;12,12/'3.CAGED'!C23*0.1111,0.1111),4)</f>
        <v>4.9200000000000001E-2</v>
      </c>
      <c r="D23" s="144"/>
      <c r="F23" s="128"/>
      <c r="G23" s="128"/>
      <c r="H23" s="153"/>
      <c r="I23" s="128"/>
      <c r="J23" s="128"/>
      <c r="K23" s="128"/>
      <c r="L23" s="128"/>
    </row>
    <row r="24" spans="1:12" ht="14.25" x14ac:dyDescent="0.2">
      <c r="A24" s="139" t="s">
        <v>172</v>
      </c>
      <c r="B24" s="140" t="s">
        <v>175</v>
      </c>
      <c r="C24" s="143">
        <f>C22*C23</f>
        <v>1.2595200000000001E-3</v>
      </c>
      <c r="D24" s="144"/>
      <c r="E24" s="152"/>
      <c r="F24" s="128"/>
      <c r="G24" s="128"/>
      <c r="H24" s="128"/>
      <c r="I24" s="128"/>
      <c r="J24" s="128"/>
      <c r="K24" s="128"/>
      <c r="L24" s="128"/>
    </row>
    <row r="25" spans="1:12" ht="14.25" x14ac:dyDescent="0.2">
      <c r="A25" s="139" t="s">
        <v>174</v>
      </c>
      <c r="B25" s="140" t="s">
        <v>177</v>
      </c>
      <c r="C25" s="143">
        <f>ROUND(('3.CAGED'!C24+'3.CAGED'!C25+'3.CAGED'!C27)/'3.CAGED'!C22*'3.CAGED'!C29*'3.CAGED'!C30*'3.CAGED'!C21/'3.CAGED'!C24,4)</f>
        <v>2.0500000000000001E-2</v>
      </c>
      <c r="D25" s="144"/>
      <c r="F25" s="128"/>
      <c r="G25" s="154"/>
      <c r="H25" s="128"/>
      <c r="I25" s="128"/>
      <c r="J25" s="128"/>
      <c r="K25" s="128"/>
      <c r="L25" s="128"/>
    </row>
    <row r="26" spans="1:12" ht="14.25" x14ac:dyDescent="0.2">
      <c r="A26" s="139" t="s">
        <v>176</v>
      </c>
      <c r="B26" s="140" t="s">
        <v>178</v>
      </c>
      <c r="C26" s="143">
        <f>ROUND(('3.CAGED'!C26/'3.CAGED'!C24)*'3.CAGED'!C21/12,4)</f>
        <v>1.8E-3</v>
      </c>
      <c r="D26" s="144"/>
      <c r="F26" s="128"/>
      <c r="G26" s="128"/>
      <c r="H26" s="128"/>
      <c r="I26" s="128"/>
      <c r="J26" s="128"/>
      <c r="K26" s="128"/>
      <c r="L26" s="128"/>
    </row>
    <row r="27" spans="1:12" ht="15" x14ac:dyDescent="0.2">
      <c r="A27" s="139" t="s">
        <v>179</v>
      </c>
      <c r="B27" s="145" t="s">
        <v>180</v>
      </c>
      <c r="C27" s="146">
        <f>SUM(C22:C26)</f>
        <v>9.8359520000000006E-2</v>
      </c>
      <c r="D27" s="151"/>
      <c r="F27" s="128"/>
      <c r="G27" s="128"/>
      <c r="H27" s="128"/>
      <c r="I27" s="128"/>
      <c r="J27" s="128"/>
      <c r="K27" s="128"/>
      <c r="L27" s="128"/>
    </row>
    <row r="28" spans="1:12" ht="15" x14ac:dyDescent="0.2">
      <c r="A28" s="147"/>
      <c r="B28" s="148"/>
      <c r="C28" s="149"/>
      <c r="D28" s="151"/>
      <c r="F28" s="128"/>
      <c r="G28" s="128"/>
      <c r="H28" s="128"/>
      <c r="I28" s="128"/>
      <c r="J28" s="128"/>
      <c r="K28" s="128"/>
      <c r="L28" s="128"/>
    </row>
    <row r="29" spans="1:12" ht="14.25" x14ac:dyDescent="0.2">
      <c r="A29" s="139" t="s">
        <v>181</v>
      </c>
      <c r="B29" s="140" t="s">
        <v>182</v>
      </c>
      <c r="C29" s="143">
        <f>ROUND(C12*C20,4)</f>
        <v>6.3899999999999998E-2</v>
      </c>
      <c r="D29" s="144"/>
      <c r="F29" s="128"/>
      <c r="G29" s="128"/>
      <c r="H29" s="128"/>
      <c r="I29" s="128"/>
      <c r="J29" s="128"/>
      <c r="K29" s="128"/>
      <c r="L29" s="128"/>
    </row>
    <row r="30" spans="1:12" ht="28.5" x14ac:dyDescent="0.2">
      <c r="A30" s="139" t="s">
        <v>183</v>
      </c>
      <c r="B30" s="155" t="s">
        <v>275</v>
      </c>
      <c r="C30" s="143">
        <f>ROUND((C22*C11),4)</f>
        <v>2E-3</v>
      </c>
      <c r="D30" s="144"/>
      <c r="F30" s="128"/>
      <c r="G30" s="128"/>
      <c r="H30" s="128"/>
      <c r="I30" s="128"/>
      <c r="J30" s="128"/>
      <c r="K30" s="128"/>
      <c r="L30" s="128"/>
    </row>
    <row r="31" spans="1:12" ht="15" x14ac:dyDescent="0.2">
      <c r="A31" s="139" t="s">
        <v>184</v>
      </c>
      <c r="B31" s="145" t="s">
        <v>185</v>
      </c>
      <c r="C31" s="146">
        <f>SUM(C29:C30)</f>
        <v>6.59E-2</v>
      </c>
      <c r="D31" s="156"/>
      <c r="F31" s="128"/>
      <c r="G31" s="128"/>
      <c r="H31" s="128"/>
      <c r="I31" s="128"/>
      <c r="J31" s="128"/>
      <c r="K31" s="128"/>
      <c r="L31" s="128"/>
    </row>
    <row r="32" spans="1:12" ht="15.75" thickBot="1" x14ac:dyDescent="0.25">
      <c r="A32" s="157"/>
      <c r="B32" s="158" t="s">
        <v>186</v>
      </c>
      <c r="C32" s="159">
        <f>C31+C27+C20+C12</f>
        <v>0.70595951999999995</v>
      </c>
      <c r="D32" s="156"/>
      <c r="F32" s="128"/>
      <c r="G32" s="128"/>
      <c r="H32" s="128"/>
      <c r="I32" s="128"/>
      <c r="J32" s="128"/>
      <c r="K32" s="128"/>
      <c r="L32" s="128"/>
    </row>
    <row r="33" spans="1:12" ht="15" x14ac:dyDescent="0.2">
      <c r="A33" s="144"/>
      <c r="B33" s="160"/>
      <c r="C33" s="161"/>
      <c r="D33" s="162"/>
      <c r="F33" s="128"/>
      <c r="G33" s="128"/>
      <c r="H33" s="128"/>
      <c r="I33" s="128"/>
      <c r="J33" s="128"/>
      <c r="K33" s="128"/>
      <c r="L33" s="128"/>
    </row>
    <row r="34" spans="1:12" ht="14.25" x14ac:dyDescent="0.2">
      <c r="A34" s="144"/>
      <c r="B34" s="144"/>
      <c r="C34" s="163"/>
      <c r="D34" s="164"/>
      <c r="F34" s="128"/>
      <c r="G34" s="128"/>
      <c r="H34" s="128"/>
      <c r="I34" s="128"/>
      <c r="J34" s="128"/>
      <c r="K34" s="128"/>
      <c r="L34" s="128"/>
    </row>
    <row r="35" spans="1:12" ht="14.25" x14ac:dyDescent="0.2">
      <c r="A35" s="142"/>
      <c r="B35" s="142"/>
      <c r="C35" s="165"/>
      <c r="D35" s="142"/>
      <c r="F35" s="128"/>
      <c r="G35" s="128"/>
      <c r="H35" s="128"/>
      <c r="I35" s="128"/>
      <c r="J35" s="128"/>
      <c r="K35" s="128"/>
      <c r="L35" s="128"/>
    </row>
    <row r="36" spans="1:12" ht="14.25" x14ac:dyDescent="0.2">
      <c r="A36" s="142"/>
      <c r="B36" s="142"/>
      <c r="C36" s="165"/>
      <c r="D36" s="142"/>
      <c r="F36" s="128"/>
      <c r="G36" s="128"/>
      <c r="H36" s="128"/>
      <c r="I36" s="128"/>
      <c r="J36" s="128"/>
      <c r="K36" s="128"/>
      <c r="L36" s="128"/>
    </row>
    <row r="37" spans="1:12" ht="14.25" x14ac:dyDescent="0.2">
      <c r="A37" s="142"/>
      <c r="B37" s="142"/>
      <c r="C37" s="165"/>
      <c r="D37" s="142"/>
      <c r="F37" s="128"/>
      <c r="G37" s="128"/>
      <c r="H37" s="128"/>
      <c r="I37" s="128"/>
      <c r="J37" s="128"/>
      <c r="K37" s="128"/>
      <c r="L37" s="128"/>
    </row>
    <row r="38" spans="1:12" ht="15" x14ac:dyDescent="0.2">
      <c r="A38" s="142"/>
      <c r="B38" s="166"/>
      <c r="C38" s="167"/>
      <c r="D38" s="142"/>
      <c r="F38" s="128"/>
      <c r="G38" s="128"/>
      <c r="H38" s="128"/>
      <c r="I38" s="128"/>
      <c r="J38" s="128"/>
      <c r="K38" s="128"/>
      <c r="L38" s="128"/>
    </row>
    <row r="39" spans="1:12" ht="15" x14ac:dyDescent="0.2">
      <c r="A39" s="156"/>
      <c r="B39" s="166"/>
      <c r="C39" s="167"/>
      <c r="D39" s="156"/>
      <c r="E39" s="128"/>
      <c r="F39" s="128"/>
      <c r="G39" s="128"/>
      <c r="H39" s="128"/>
      <c r="I39" s="128"/>
      <c r="J39" s="128"/>
      <c r="K39" s="128"/>
      <c r="L39" s="128"/>
    </row>
    <row r="40" spans="1:12" ht="16.5" x14ac:dyDescent="0.2">
      <c r="A40" s="168"/>
      <c r="B40" s="128"/>
      <c r="C40" s="128"/>
      <c r="E40" s="128"/>
      <c r="F40" s="128"/>
      <c r="G40" s="128"/>
      <c r="H40" s="128"/>
      <c r="I40" s="128"/>
      <c r="J40" s="128"/>
      <c r="K40" s="128"/>
      <c r="L40" s="128"/>
    </row>
    <row r="41" spans="1:12" x14ac:dyDescent="0.2">
      <c r="A41" s="169"/>
      <c r="B41" s="170"/>
      <c r="C41" s="170"/>
      <c r="E41" s="128"/>
      <c r="F41" s="128"/>
      <c r="G41" s="128"/>
      <c r="H41" s="128"/>
      <c r="I41" s="128"/>
      <c r="J41" s="128"/>
      <c r="K41" s="128"/>
      <c r="L41" s="128"/>
    </row>
    <row r="42" spans="1:12" ht="14.25" x14ac:dyDescent="0.2">
      <c r="A42" s="142"/>
      <c r="B42" s="171"/>
      <c r="C42" s="170"/>
      <c r="E42" s="128"/>
      <c r="F42" s="128"/>
      <c r="G42" s="128"/>
      <c r="H42" s="128"/>
      <c r="I42" s="128"/>
      <c r="J42" s="128"/>
      <c r="K42" s="128"/>
      <c r="L42" s="128"/>
    </row>
    <row r="43" spans="1:12" ht="14.25" x14ac:dyDescent="0.2">
      <c r="A43" s="142"/>
      <c r="B43" s="171"/>
      <c r="C43" s="142"/>
      <c r="E43" s="128"/>
      <c r="F43" s="128"/>
      <c r="G43" s="128"/>
      <c r="H43" s="128"/>
      <c r="I43" s="128"/>
      <c r="J43" s="128"/>
      <c r="K43" s="128"/>
      <c r="L43" s="128"/>
    </row>
    <row r="44" spans="1:12" ht="14.25" x14ac:dyDescent="0.2">
      <c r="A44" s="142"/>
      <c r="B44" s="165"/>
      <c r="C44" s="170"/>
      <c r="E44" s="128"/>
      <c r="F44" s="128"/>
      <c r="G44" s="128"/>
      <c r="H44" s="128"/>
      <c r="I44" s="128"/>
      <c r="J44" s="128"/>
      <c r="K44" s="128"/>
      <c r="L44" s="128"/>
    </row>
    <row r="45" spans="1:12" ht="14.25" x14ac:dyDescent="0.2">
      <c r="A45" s="142"/>
      <c r="B45" s="171"/>
      <c r="C45" s="142"/>
      <c r="E45" s="128"/>
      <c r="F45" s="128"/>
      <c r="G45" s="128"/>
      <c r="H45" s="128"/>
      <c r="I45" s="128"/>
      <c r="J45" s="128"/>
      <c r="K45" s="128"/>
      <c r="L45" s="128"/>
    </row>
    <row r="46" spans="1:12" ht="14.25" x14ac:dyDescent="0.2">
      <c r="A46" s="142"/>
      <c r="B46" s="165"/>
      <c r="C46" s="170"/>
      <c r="E46" s="128"/>
      <c r="F46" s="128"/>
      <c r="G46" s="128"/>
      <c r="H46" s="128"/>
      <c r="I46" s="128"/>
      <c r="J46" s="128"/>
      <c r="K46" s="128"/>
      <c r="L46" s="128"/>
    </row>
    <row r="47" spans="1:12" ht="14.25" x14ac:dyDescent="0.2">
      <c r="A47" s="142"/>
      <c r="B47" s="171"/>
      <c r="C47" s="142"/>
      <c r="E47" s="128"/>
      <c r="F47" s="128"/>
      <c r="G47" s="128"/>
      <c r="H47" s="128"/>
      <c r="I47" s="128"/>
      <c r="J47" s="128"/>
      <c r="K47" s="128"/>
      <c r="L47" s="128"/>
    </row>
    <row r="48" spans="1:12" ht="14.25" x14ac:dyDescent="0.2">
      <c r="A48" s="142"/>
      <c r="B48" s="165"/>
      <c r="C48" s="170"/>
      <c r="E48" s="128"/>
      <c r="F48" s="128"/>
      <c r="G48" s="128"/>
      <c r="H48" s="128"/>
      <c r="I48" s="128"/>
      <c r="J48" s="128"/>
      <c r="K48" s="128"/>
      <c r="L48" s="128"/>
    </row>
    <row r="49" spans="1:12" ht="14.25" x14ac:dyDescent="0.2">
      <c r="A49" s="142"/>
      <c r="B49" s="171"/>
      <c r="C49" s="142"/>
      <c r="E49" s="128"/>
      <c r="F49" s="128"/>
      <c r="G49" s="128"/>
      <c r="H49" s="128"/>
      <c r="I49" s="128"/>
      <c r="J49" s="128"/>
      <c r="K49" s="128"/>
      <c r="L49" s="128"/>
    </row>
    <row r="50" spans="1:12" ht="14.25" x14ac:dyDescent="0.2">
      <c r="A50" s="142"/>
      <c r="B50" s="165"/>
      <c r="C50" s="170"/>
      <c r="E50" s="128"/>
      <c r="F50" s="128"/>
      <c r="G50" s="128"/>
      <c r="H50" s="128"/>
      <c r="I50" s="128"/>
      <c r="J50" s="128"/>
      <c r="K50" s="128"/>
      <c r="L50" s="128"/>
    </row>
    <row r="51" spans="1:12" ht="16.5" x14ac:dyDescent="0.2">
      <c r="A51" s="168"/>
      <c r="B51" s="128"/>
      <c r="C51" s="128"/>
      <c r="E51" s="128"/>
      <c r="F51" s="128"/>
      <c r="G51" s="128"/>
      <c r="H51" s="128"/>
      <c r="I51" s="128"/>
      <c r="J51" s="128"/>
      <c r="K51" s="128"/>
      <c r="L51" s="128"/>
    </row>
    <row r="52" spans="1:12" x14ac:dyDescent="0.2">
      <c r="A52" s="128"/>
      <c r="B52" s="128"/>
      <c r="C52" s="128"/>
      <c r="E52" s="128"/>
      <c r="F52" s="128"/>
      <c r="G52" s="128"/>
      <c r="H52" s="128"/>
      <c r="I52" s="128"/>
      <c r="J52" s="128"/>
      <c r="K52" s="128"/>
      <c r="L52" s="128"/>
    </row>
    <row r="53" spans="1:12" x14ac:dyDescent="0.2">
      <c r="A53" s="128"/>
      <c r="B53" s="128"/>
      <c r="C53" s="128"/>
      <c r="E53" s="128"/>
      <c r="F53" s="128"/>
      <c r="G53" s="128"/>
      <c r="H53" s="128"/>
      <c r="I53" s="128"/>
      <c r="J53" s="128"/>
      <c r="K53" s="128"/>
      <c r="L53" s="128"/>
    </row>
    <row r="54" spans="1:12" x14ac:dyDescent="0.2">
      <c r="A54" s="172"/>
      <c r="B54" s="128"/>
      <c r="C54" s="128"/>
      <c r="E54" s="128"/>
      <c r="F54" s="128"/>
      <c r="G54" s="128"/>
      <c r="H54" s="128"/>
      <c r="I54" s="128"/>
      <c r="J54" s="128"/>
      <c r="K54" s="128"/>
      <c r="L54" s="128"/>
    </row>
    <row r="55" spans="1:12" x14ac:dyDescent="0.2">
      <c r="A55" s="128"/>
      <c r="B55" s="128"/>
      <c r="C55" s="128"/>
      <c r="E55" s="128"/>
    </row>
    <row r="56" spans="1:12" x14ac:dyDescent="0.2">
      <c r="A56" s="128"/>
      <c r="B56" s="128"/>
      <c r="C56" s="128"/>
      <c r="E56" s="128"/>
    </row>
    <row r="57" spans="1:12" x14ac:dyDescent="0.2">
      <c r="A57" s="128"/>
      <c r="B57" s="128"/>
      <c r="C57" s="128"/>
      <c r="E57" s="128"/>
    </row>
    <row r="58" spans="1:12" x14ac:dyDescent="0.2">
      <c r="A58" s="128"/>
      <c r="B58" s="128"/>
      <c r="C58" s="128"/>
      <c r="E58" s="128"/>
    </row>
    <row r="59" spans="1:12" x14ac:dyDescent="0.2">
      <c r="A59" s="128"/>
      <c r="B59" s="128"/>
      <c r="C59" s="128"/>
      <c r="E59" s="128"/>
    </row>
    <row r="60" spans="1:12" x14ac:dyDescent="0.2">
      <c r="A60" s="128"/>
      <c r="B60" s="128"/>
      <c r="C60" s="128"/>
      <c r="E60" s="128"/>
    </row>
    <row r="61" spans="1:12" x14ac:dyDescent="0.2">
      <c r="A61" s="128"/>
      <c r="B61" s="128"/>
      <c r="C61" s="128"/>
      <c r="E61" s="128"/>
    </row>
    <row r="62" spans="1:12" x14ac:dyDescent="0.2">
      <c r="A62" s="128"/>
      <c r="B62" s="128"/>
      <c r="C62" s="128"/>
      <c r="E62" s="128"/>
    </row>
    <row r="63" spans="1:12" x14ac:dyDescent="0.2">
      <c r="A63" s="128"/>
      <c r="B63" s="128"/>
      <c r="C63" s="128"/>
      <c r="E63" s="128"/>
    </row>
  </sheetData>
  <mergeCells count="1">
    <mergeCell ref="A2:C2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XFD5"/>
    </sheetView>
  </sheetViews>
  <sheetFormatPr defaultColWidth="8.85546875" defaultRowHeight="12.75" x14ac:dyDescent="0.2"/>
  <cols>
    <col min="1" max="1" width="8.42578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8.85546875" style="1"/>
  </cols>
  <sheetData>
    <row r="1" spans="1:3" ht="13.5" thickBot="1" x14ac:dyDescent="0.25"/>
    <row r="2" spans="1:3" ht="18" x14ac:dyDescent="0.25">
      <c r="B2" s="327" t="s">
        <v>222</v>
      </c>
      <c r="C2" s="328"/>
    </row>
    <row r="3" spans="1:3" ht="15" x14ac:dyDescent="0.25">
      <c r="A3" s="128"/>
      <c r="B3" s="127" t="s">
        <v>201</v>
      </c>
      <c r="C3" s="173"/>
    </row>
    <row r="4" spans="1:3" ht="15" x14ac:dyDescent="0.25">
      <c r="A4" s="128"/>
      <c r="B4" s="129" t="s">
        <v>122</v>
      </c>
      <c r="C4" s="130">
        <v>2100</v>
      </c>
    </row>
    <row r="5" spans="1:3" ht="15" x14ac:dyDescent="0.25">
      <c r="A5" s="128"/>
      <c r="B5" s="131" t="s">
        <v>123</v>
      </c>
      <c r="C5" s="130">
        <v>2031</v>
      </c>
    </row>
    <row r="6" spans="1:3" ht="14.25" x14ac:dyDescent="0.2">
      <c r="A6" s="128"/>
      <c r="B6" s="174" t="s">
        <v>124</v>
      </c>
      <c r="C6" s="175">
        <v>44</v>
      </c>
    </row>
    <row r="7" spans="1:3" ht="14.25" x14ac:dyDescent="0.2">
      <c r="A7" s="128"/>
      <c r="B7" s="174" t="s">
        <v>125</v>
      </c>
      <c r="C7" s="175">
        <v>1192</v>
      </c>
    </row>
    <row r="8" spans="1:3" ht="14.25" x14ac:dyDescent="0.2">
      <c r="A8" s="128"/>
      <c r="B8" s="174" t="s">
        <v>126</v>
      </c>
      <c r="C8" s="175">
        <v>372</v>
      </c>
    </row>
    <row r="9" spans="1:3" ht="14.25" x14ac:dyDescent="0.2">
      <c r="A9" s="128"/>
      <c r="B9" s="174" t="s">
        <v>127</v>
      </c>
      <c r="C9" s="175">
        <v>22</v>
      </c>
    </row>
    <row r="10" spans="1:3" ht="14.25" x14ac:dyDescent="0.2">
      <c r="A10" s="128"/>
      <c r="B10" s="174" t="s">
        <v>128</v>
      </c>
      <c r="C10" s="175">
        <v>350</v>
      </c>
    </row>
    <row r="11" spans="1:3" ht="14.25" x14ac:dyDescent="0.2">
      <c r="A11" s="128"/>
      <c r="B11" s="174" t="s">
        <v>129</v>
      </c>
      <c r="C11" s="175">
        <v>1</v>
      </c>
    </row>
    <row r="12" spans="1:3" ht="14.25" x14ac:dyDescent="0.2">
      <c r="A12" s="128"/>
      <c r="B12" s="174" t="s">
        <v>130</v>
      </c>
      <c r="C12" s="175">
        <v>30</v>
      </c>
    </row>
    <row r="13" spans="1:3" ht="14.25" x14ac:dyDescent="0.2">
      <c r="A13" s="128"/>
      <c r="B13" s="176" t="s">
        <v>131</v>
      </c>
      <c r="C13" s="177">
        <v>0</v>
      </c>
    </row>
    <row r="14" spans="1:3" ht="14.25" x14ac:dyDescent="0.2">
      <c r="A14" s="128"/>
      <c r="B14" s="272" t="s">
        <v>282</v>
      </c>
      <c r="C14" s="177">
        <v>0</v>
      </c>
    </row>
    <row r="15" spans="1:3" ht="15" x14ac:dyDescent="0.25">
      <c r="A15" s="128" t="s">
        <v>132</v>
      </c>
      <c r="B15" s="127" t="s">
        <v>133</v>
      </c>
      <c r="C15" s="173"/>
    </row>
    <row r="16" spans="1:3" ht="14.25" x14ac:dyDescent="0.2">
      <c r="A16" s="128"/>
      <c r="B16" s="178" t="s">
        <v>284</v>
      </c>
      <c r="C16" s="179">
        <v>4625</v>
      </c>
    </row>
    <row r="17" spans="1:5" ht="14.25" x14ac:dyDescent="0.2">
      <c r="A17" s="128"/>
      <c r="B17" s="174" t="s">
        <v>285</v>
      </c>
      <c r="C17" s="175">
        <v>4694</v>
      </c>
    </row>
    <row r="18" spans="1:5" ht="14.25" x14ac:dyDescent="0.2">
      <c r="B18" s="174" t="s">
        <v>283</v>
      </c>
      <c r="C18" s="266">
        <f>C4-C5</f>
        <v>69</v>
      </c>
    </row>
    <row r="19" spans="1:5" ht="14.25" x14ac:dyDescent="0.2">
      <c r="B19" s="180"/>
      <c r="C19" s="181"/>
    </row>
    <row r="20" spans="1:5" s="86" customFormat="1" ht="15" x14ac:dyDescent="0.25">
      <c r="B20" s="129" t="s">
        <v>135</v>
      </c>
      <c r="C20" s="182">
        <f>MEDIAN(C16,C17)</f>
        <v>4659.5</v>
      </c>
    </row>
    <row r="21" spans="1:5" ht="15" x14ac:dyDescent="0.25">
      <c r="B21" s="131" t="s">
        <v>280</v>
      </c>
      <c r="C21" s="270">
        <f>C7/C20</f>
        <v>0.25582144006867691</v>
      </c>
    </row>
    <row r="22" spans="1:5" ht="15" x14ac:dyDescent="0.25">
      <c r="B22" s="131" t="s">
        <v>281</v>
      </c>
      <c r="C22" s="270">
        <f>MEDIAN(C4,C5)/C20</f>
        <v>0.44328790642772831</v>
      </c>
      <c r="E22" s="240"/>
    </row>
    <row r="23" spans="1:5" s="86" customFormat="1" ht="15" x14ac:dyDescent="0.25">
      <c r="B23" s="131" t="s">
        <v>240</v>
      </c>
      <c r="C23" s="268">
        <f>12/C22</f>
        <v>27.070442992011618</v>
      </c>
    </row>
    <row r="24" spans="1:5" ht="15" x14ac:dyDescent="0.25">
      <c r="B24" s="131" t="s">
        <v>134</v>
      </c>
      <c r="C24" s="133">
        <v>360</v>
      </c>
    </row>
    <row r="25" spans="1:5" ht="15" x14ac:dyDescent="0.25">
      <c r="B25" s="131" t="s">
        <v>236</v>
      </c>
      <c r="C25" s="133">
        <v>10</v>
      </c>
    </row>
    <row r="26" spans="1:5" ht="15" x14ac:dyDescent="0.25">
      <c r="B26" s="129" t="s">
        <v>237</v>
      </c>
      <c r="C26" s="132">
        <v>30</v>
      </c>
    </row>
    <row r="27" spans="1:5" ht="15" x14ac:dyDescent="0.25">
      <c r="B27" s="129" t="s">
        <v>238</v>
      </c>
      <c r="C27" s="132">
        <v>30</v>
      </c>
    </row>
    <row r="28" spans="1:5" s="86" customFormat="1" ht="15" x14ac:dyDescent="0.25">
      <c r="B28" s="129" t="s">
        <v>137</v>
      </c>
      <c r="C28" s="132">
        <f>30+(3*TRUNC(1/C22))</f>
        <v>36</v>
      </c>
    </row>
    <row r="29" spans="1:5" s="86" customFormat="1" ht="15" x14ac:dyDescent="0.25">
      <c r="B29" s="131" t="s">
        <v>42</v>
      </c>
      <c r="C29" s="269">
        <v>0.08</v>
      </c>
    </row>
    <row r="30" spans="1:5" s="86" customFormat="1" ht="15.75" thickBot="1" x14ac:dyDescent="0.3">
      <c r="B30" s="134" t="s">
        <v>136</v>
      </c>
      <c r="C30" s="271">
        <v>0.4</v>
      </c>
      <c r="D30" s="86" t="s">
        <v>286</v>
      </c>
    </row>
  </sheetData>
  <mergeCells count="1">
    <mergeCell ref="B2:C2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M24" sqref="M24"/>
    </sheetView>
  </sheetViews>
  <sheetFormatPr defaultColWidth="8.85546875" defaultRowHeight="12.75" x14ac:dyDescent="0.2"/>
  <cols>
    <col min="1" max="1" width="41.85546875" bestFit="1" customWidth="1"/>
    <col min="2" max="2" width="5.42578125" bestFit="1" customWidth="1"/>
    <col min="4" max="4" width="9.7109375" bestFit="1" customWidth="1"/>
    <col min="5" max="5" width="8" style="96" bestFit="1" customWidth="1"/>
    <col min="6" max="6" width="9.7109375" bestFit="1" customWidth="1"/>
  </cols>
  <sheetData>
    <row r="1" spans="1:8" s="117" customFormat="1" ht="15" thickBot="1" x14ac:dyDescent="0.25">
      <c r="B1" s="115"/>
      <c r="C1" s="115"/>
      <c r="E1" s="118"/>
    </row>
    <row r="2" spans="1:8" ht="15.75" x14ac:dyDescent="0.2">
      <c r="A2" s="334" t="s">
        <v>223</v>
      </c>
      <c r="B2" s="335"/>
      <c r="C2" s="335"/>
      <c r="D2" s="335"/>
      <c r="E2" s="335"/>
      <c r="F2" s="336"/>
    </row>
    <row r="3" spans="1:8" ht="16.5" thickBot="1" x14ac:dyDescent="0.25">
      <c r="A3" s="227"/>
      <c r="B3" s="228"/>
      <c r="C3" s="228"/>
      <c r="D3" s="228"/>
      <c r="E3" s="228"/>
      <c r="F3" s="229"/>
    </row>
    <row r="4" spans="1:8" ht="15" x14ac:dyDescent="0.25">
      <c r="A4" s="183"/>
      <c r="B4" s="116"/>
      <c r="C4" s="116"/>
      <c r="D4" s="331" t="s">
        <v>239</v>
      </c>
      <c r="E4" s="332"/>
      <c r="F4" s="333"/>
      <c r="G4" s="117"/>
      <c r="H4" s="117"/>
    </row>
    <row r="5" spans="1:8" ht="15" thickBot="1" x14ac:dyDescent="0.25">
      <c r="A5" s="180"/>
      <c r="B5" s="184"/>
      <c r="C5" s="184"/>
      <c r="D5" s="185" t="s">
        <v>187</v>
      </c>
      <c r="E5" s="186" t="s">
        <v>188</v>
      </c>
      <c r="F5" s="187" t="s">
        <v>189</v>
      </c>
      <c r="G5" s="117"/>
      <c r="H5" s="117"/>
    </row>
    <row r="6" spans="1:8" ht="14.25" x14ac:dyDescent="0.2">
      <c r="A6" s="188" t="s">
        <v>76</v>
      </c>
      <c r="B6" s="189" t="s">
        <v>77</v>
      </c>
      <c r="C6" s="292">
        <v>5.0799999999999998E-2</v>
      </c>
      <c r="D6" s="206">
        <v>2.9700000000000001E-2</v>
      </c>
      <c r="E6" s="207">
        <v>5.0799999999999998E-2</v>
      </c>
      <c r="F6" s="208">
        <v>6.2700000000000006E-2</v>
      </c>
      <c r="G6" s="117"/>
      <c r="H6" s="117"/>
    </row>
    <row r="7" spans="1:8" ht="14.25" x14ac:dyDescent="0.2">
      <c r="A7" s="191" t="s">
        <v>78</v>
      </c>
      <c r="B7" s="192" t="s">
        <v>79</v>
      </c>
      <c r="C7" s="293">
        <v>7.0000000000000001E-3</v>
      </c>
      <c r="D7" s="206">
        <f>0.3%+0.56%</f>
        <v>8.6E-3</v>
      </c>
      <c r="E7" s="207">
        <f>0.48%+0.85%</f>
        <v>1.3299999999999999E-2</v>
      </c>
      <c r="F7" s="208">
        <f>0.82%+0.89%</f>
        <v>1.7099999999999997E-2</v>
      </c>
      <c r="G7" s="117"/>
      <c r="H7" s="117"/>
    </row>
    <row r="8" spans="1:8" ht="14.25" x14ac:dyDescent="0.2">
      <c r="A8" s="191" t="s">
        <v>80</v>
      </c>
      <c r="B8" s="192" t="s">
        <v>81</v>
      </c>
      <c r="C8" s="293">
        <v>0.1085</v>
      </c>
      <c r="D8" s="206">
        <v>7.7799999999999994E-2</v>
      </c>
      <c r="E8" s="207">
        <v>0.1085</v>
      </c>
      <c r="F8" s="208">
        <v>0.13550000000000001</v>
      </c>
      <c r="G8" s="117"/>
      <c r="H8" s="117"/>
    </row>
    <row r="9" spans="1:8" ht="14.25" x14ac:dyDescent="0.2">
      <c r="A9" s="191" t="s">
        <v>82</v>
      </c>
      <c r="B9" s="192" t="s">
        <v>83</v>
      </c>
      <c r="C9" s="193">
        <f>(1+E9)^(E10/252)-1</f>
        <v>7.0460285370770315E-3</v>
      </c>
      <c r="D9" s="206" t="s">
        <v>271</v>
      </c>
      <c r="E9" s="295">
        <v>9.2499999999999999E-2</v>
      </c>
      <c r="F9" s="190"/>
      <c r="G9" s="117"/>
      <c r="H9" s="117"/>
    </row>
    <row r="10" spans="1:8" ht="14.25" x14ac:dyDescent="0.2">
      <c r="A10" s="191" t="s">
        <v>84</v>
      </c>
      <c r="B10" s="329" t="s">
        <v>85</v>
      </c>
      <c r="C10" s="293">
        <v>0.05</v>
      </c>
      <c r="D10" s="264" t="s">
        <v>190</v>
      </c>
      <c r="E10" s="296">
        <v>20</v>
      </c>
      <c r="F10" s="194"/>
      <c r="G10" s="117"/>
      <c r="H10" s="117"/>
    </row>
    <row r="11" spans="1:8" ht="15" thickBot="1" x14ac:dyDescent="0.25">
      <c r="A11" s="195" t="s">
        <v>86</v>
      </c>
      <c r="B11" s="330"/>
      <c r="C11" s="294">
        <v>3.6499999999999998E-2</v>
      </c>
      <c r="D11" s="174"/>
      <c r="E11" s="196"/>
      <c r="F11" s="194"/>
      <c r="G11" s="117"/>
      <c r="H11" s="117"/>
    </row>
    <row r="12" spans="1:8" ht="14.25" x14ac:dyDescent="0.2">
      <c r="A12" s="197" t="s">
        <v>87</v>
      </c>
      <c r="B12" s="198"/>
      <c r="C12" s="199"/>
      <c r="D12" s="174"/>
      <c r="E12" s="196"/>
      <c r="F12" s="194"/>
      <c r="G12" s="117"/>
      <c r="H12" s="117"/>
    </row>
    <row r="13" spans="1:8" ht="15" thickBot="1" x14ac:dyDescent="0.25">
      <c r="A13" s="200" t="s">
        <v>88</v>
      </c>
      <c r="B13" s="201"/>
      <c r="C13" s="202"/>
      <c r="D13" s="174"/>
      <c r="E13" s="196"/>
      <c r="F13" s="194"/>
      <c r="G13" s="117"/>
      <c r="H13" s="117"/>
    </row>
    <row r="14" spans="1:8" ht="15.75" thickBot="1" x14ac:dyDescent="0.25">
      <c r="A14" s="203" t="s">
        <v>89</v>
      </c>
      <c r="B14" s="204"/>
      <c r="C14" s="205">
        <f>ROUND((((1+C6+C7)*(1+C8)*(1+C9))/(1-(C10+C11))-1),4)</f>
        <v>0.29260000000000003</v>
      </c>
      <c r="D14" s="209">
        <v>0.21429999999999999</v>
      </c>
      <c r="E14" s="210">
        <v>0.2717</v>
      </c>
      <c r="F14" s="211">
        <v>0.3362</v>
      </c>
      <c r="G14" s="117"/>
      <c r="H14" s="117"/>
    </row>
    <row r="15" spans="1:8" ht="14.25" x14ac:dyDescent="0.2">
      <c r="A15" s="117"/>
      <c r="B15" s="117"/>
      <c r="C15" s="117"/>
      <c r="D15" s="117"/>
      <c r="E15" s="118"/>
      <c r="F15" s="117"/>
      <c r="G15" s="117"/>
      <c r="H15" s="117"/>
    </row>
    <row r="16" spans="1:8" ht="14.25" x14ac:dyDescent="0.2">
      <c r="A16" s="117"/>
      <c r="B16" s="117"/>
      <c r="C16" s="117"/>
      <c r="D16" s="117"/>
      <c r="E16" s="118"/>
      <c r="F16" s="117"/>
      <c r="G16" s="117"/>
      <c r="H16" s="117"/>
    </row>
    <row r="17" spans="1:8" ht="14.25" x14ac:dyDescent="0.2">
      <c r="A17" s="117"/>
      <c r="B17" s="117"/>
      <c r="C17" s="117"/>
      <c r="D17" s="117"/>
      <c r="E17" s="118"/>
      <c r="F17" s="117"/>
      <c r="G17" s="117"/>
      <c r="H17" s="117"/>
    </row>
    <row r="18" spans="1:8" ht="14.25" x14ac:dyDescent="0.2">
      <c r="A18" s="117"/>
      <c r="B18" s="117"/>
      <c r="C18" s="117"/>
      <c r="D18" s="117"/>
      <c r="E18" s="118"/>
      <c r="F18" s="117"/>
      <c r="G18" s="117"/>
      <c r="H18" s="117"/>
    </row>
  </sheetData>
  <mergeCells count="3">
    <mergeCell ref="B10:B11"/>
    <mergeCell ref="D4:F4"/>
    <mergeCell ref="A2:F2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3" sqref="B3"/>
    </sheetView>
  </sheetViews>
  <sheetFormatPr defaultColWidth="8.85546875" defaultRowHeight="19.5" customHeight="1" x14ac:dyDescent="0.2"/>
  <cols>
    <col min="1" max="1" width="24.42578125" style="1" customWidth="1"/>
    <col min="2" max="2" width="20.85546875" style="1" customWidth="1"/>
    <col min="3" max="16384" width="8.85546875" style="1"/>
  </cols>
  <sheetData>
    <row r="1" spans="1:2" ht="19.5" customHeight="1" thickBot="1" x14ac:dyDescent="0.25">
      <c r="A1" s="337" t="s">
        <v>225</v>
      </c>
      <c r="B1" s="338"/>
    </row>
    <row r="2" spans="1:2" s="86" customFormat="1" ht="19.5" customHeight="1" x14ac:dyDescent="0.2">
      <c r="A2" s="230" t="s">
        <v>202</v>
      </c>
      <c r="B2" s="231" t="s">
        <v>273</v>
      </c>
    </row>
    <row r="3" spans="1:2" ht="19.5" customHeight="1" x14ac:dyDescent="0.2">
      <c r="A3" s="136">
        <v>1</v>
      </c>
      <c r="B3" s="135">
        <v>33.629999999999995</v>
      </c>
    </row>
    <row r="4" spans="1:2" ht="19.5" customHeight="1" x14ac:dyDescent="0.2">
      <c r="A4" s="136">
        <v>2</v>
      </c>
      <c r="B4" s="135">
        <v>43.13</v>
      </c>
    </row>
    <row r="5" spans="1:2" ht="19.5" customHeight="1" x14ac:dyDescent="0.2">
      <c r="A5" s="136">
        <v>3</v>
      </c>
      <c r="B5" s="135">
        <v>48.68</v>
      </c>
    </row>
    <row r="6" spans="1:2" ht="19.5" customHeight="1" x14ac:dyDescent="0.2">
      <c r="A6" s="136">
        <v>4</v>
      </c>
      <c r="B6" s="135">
        <v>52.62</v>
      </c>
    </row>
    <row r="7" spans="1:2" ht="19.5" customHeight="1" x14ac:dyDescent="0.2">
      <c r="A7" s="136">
        <v>5</v>
      </c>
      <c r="B7" s="135">
        <v>55.679999999999993</v>
      </c>
    </row>
    <row r="8" spans="1:2" ht="19.5" customHeight="1" x14ac:dyDescent="0.2">
      <c r="A8" s="136">
        <v>6</v>
      </c>
      <c r="B8" s="135">
        <v>58.18</v>
      </c>
    </row>
    <row r="9" spans="1:2" ht="19.5" customHeight="1" x14ac:dyDescent="0.2">
      <c r="A9" s="136">
        <v>7</v>
      </c>
      <c r="B9" s="135">
        <v>60.29</v>
      </c>
    </row>
    <row r="10" spans="1:2" ht="19.5" customHeight="1" x14ac:dyDescent="0.2">
      <c r="A10" s="136">
        <v>8</v>
      </c>
      <c r="B10" s="135">
        <v>62.12</v>
      </c>
    </row>
    <row r="11" spans="1:2" ht="19.5" customHeight="1" x14ac:dyDescent="0.2">
      <c r="A11" s="136">
        <v>9</v>
      </c>
      <c r="B11" s="135">
        <v>63.73</v>
      </c>
    </row>
    <row r="12" spans="1:2" ht="19.5" customHeight="1" x14ac:dyDescent="0.2">
      <c r="A12" s="136">
        <v>10</v>
      </c>
      <c r="B12" s="135">
        <v>65.180000000000007</v>
      </c>
    </row>
    <row r="13" spans="1:2" ht="19.5" customHeight="1" x14ac:dyDescent="0.2">
      <c r="A13" s="136">
        <v>11</v>
      </c>
      <c r="B13" s="135">
        <v>66.47999999999999</v>
      </c>
    </row>
    <row r="14" spans="1:2" ht="19.5" customHeight="1" x14ac:dyDescent="0.2">
      <c r="A14" s="136">
        <v>12</v>
      </c>
      <c r="B14" s="135">
        <v>67.67</v>
      </c>
    </row>
    <row r="15" spans="1:2" ht="19.5" customHeight="1" x14ac:dyDescent="0.2">
      <c r="A15" s="136">
        <v>13</v>
      </c>
      <c r="B15" s="135">
        <v>68.77</v>
      </c>
    </row>
    <row r="16" spans="1:2" ht="19.5" customHeight="1" x14ac:dyDescent="0.2">
      <c r="A16" s="136">
        <v>14</v>
      </c>
      <c r="B16" s="135">
        <v>69.789999999999992</v>
      </c>
    </row>
    <row r="17" spans="1:2" ht="19.5" customHeight="1" thickBot="1" x14ac:dyDescent="0.25">
      <c r="A17" s="137">
        <v>15</v>
      </c>
      <c r="B17" s="138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ColWidth="8.85546875" defaultRowHeight="12.75" x14ac:dyDescent="0.2"/>
  <cols>
    <col min="1" max="1" width="70.42578125" style="1" customWidth="1"/>
    <col min="2" max="3" width="8.85546875" style="1"/>
    <col min="4" max="4" width="12.85546875" style="1" bestFit="1" customWidth="1"/>
    <col min="5" max="16384" width="8.85546875" style="1"/>
  </cols>
  <sheetData>
    <row r="1" spans="1:1" ht="18" x14ac:dyDescent="0.25">
      <c r="A1" s="215" t="s">
        <v>229</v>
      </c>
    </row>
    <row r="2" spans="1:1" x14ac:dyDescent="0.2">
      <c r="A2" s="212"/>
    </row>
    <row r="3" spans="1:1" x14ac:dyDescent="0.2">
      <c r="A3" s="212" t="s">
        <v>241</v>
      </c>
    </row>
    <row r="4" spans="1:1" x14ac:dyDescent="0.2">
      <c r="A4" s="212"/>
    </row>
    <row r="5" spans="1:1" x14ac:dyDescent="0.2">
      <c r="A5" s="212"/>
    </row>
    <row r="6" spans="1:1" x14ac:dyDescent="0.2">
      <c r="A6" s="212"/>
    </row>
    <row r="7" spans="1:1" x14ac:dyDescent="0.2">
      <c r="A7" s="212"/>
    </row>
    <row r="8" spans="1:1" x14ac:dyDescent="0.2">
      <c r="A8" s="212"/>
    </row>
    <row r="9" spans="1:1" x14ac:dyDescent="0.2">
      <c r="A9" s="212"/>
    </row>
    <row r="10" spans="1:1" x14ac:dyDescent="0.2">
      <c r="A10" s="212"/>
    </row>
    <row r="11" spans="1:1" x14ac:dyDescent="0.2">
      <c r="A11" s="212"/>
    </row>
    <row r="12" spans="1:1" ht="19.5" x14ac:dyDescent="0.35">
      <c r="A12" s="213" t="s">
        <v>226</v>
      </c>
    </row>
    <row r="13" spans="1:1" ht="15" x14ac:dyDescent="0.2">
      <c r="A13" s="213" t="s">
        <v>107</v>
      </c>
    </row>
    <row r="14" spans="1:1" ht="15" x14ac:dyDescent="0.2">
      <c r="A14" s="213" t="s">
        <v>112</v>
      </c>
    </row>
    <row r="15" spans="1:1" ht="19.5" x14ac:dyDescent="0.35">
      <c r="A15" s="213" t="s">
        <v>227</v>
      </c>
    </row>
    <row r="16" spans="1:1" ht="19.5" x14ac:dyDescent="0.35">
      <c r="A16" s="213" t="s">
        <v>228</v>
      </c>
    </row>
    <row r="17" spans="1:1" ht="15.75" thickBot="1" x14ac:dyDescent="0.25">
      <c r="A17" s="214" t="s">
        <v>108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opLeftCell="A7" workbookViewId="0">
      <selection activeCell="A27" sqref="A27"/>
    </sheetView>
  </sheetViews>
  <sheetFormatPr defaultColWidth="8.85546875" defaultRowHeight="12.75" x14ac:dyDescent="0.2"/>
  <cols>
    <col min="1" max="1" width="58.28515625" style="240" customWidth="1"/>
    <col min="2" max="2" width="11.140625" style="240" bestFit="1" customWidth="1"/>
    <col min="3" max="3" width="11.28515625" style="240" bestFit="1" customWidth="1"/>
    <col min="4" max="16384" width="8.85546875" style="240"/>
  </cols>
  <sheetData>
    <row r="1" spans="1:7" x14ac:dyDescent="0.2">
      <c r="A1" s="9" t="s">
        <v>200</v>
      </c>
    </row>
    <row r="2" spans="1:7" x14ac:dyDescent="0.2">
      <c r="A2" s="245" t="s">
        <v>248</v>
      </c>
    </row>
    <row r="3" spans="1:7" x14ac:dyDescent="0.2">
      <c r="A3" s="245" t="s">
        <v>274</v>
      </c>
    </row>
    <row r="4" spans="1:7" x14ac:dyDescent="0.2">
      <c r="A4" s="5" t="s">
        <v>272</v>
      </c>
    </row>
    <row r="5" spans="1:7" x14ac:dyDescent="0.2">
      <c r="A5" s="5"/>
    </row>
    <row r="6" spans="1:7" s="2" customFormat="1" ht="15.6" customHeight="1" x14ac:dyDescent="0.2">
      <c r="A6" s="265" t="s">
        <v>279</v>
      </c>
      <c r="B6" s="112"/>
      <c r="C6" s="112"/>
      <c r="D6" s="112"/>
      <c r="E6" s="112"/>
      <c r="F6" s="112"/>
      <c r="G6" s="4"/>
    </row>
    <row r="7" spans="1:7" s="2" customFormat="1" ht="16.5" customHeight="1" x14ac:dyDescent="0.2">
      <c r="A7" s="265" t="s">
        <v>276</v>
      </c>
      <c r="B7" s="3"/>
      <c r="C7" s="3"/>
      <c r="D7" s="4"/>
      <c r="E7" s="4"/>
      <c r="F7" s="4"/>
      <c r="G7" s="4"/>
    </row>
    <row r="8" spans="1:7" ht="13.5" thickBot="1" x14ac:dyDescent="0.25"/>
    <row r="9" spans="1:7" ht="18" x14ac:dyDescent="0.25">
      <c r="A9" s="339" t="s">
        <v>268</v>
      </c>
      <c r="B9" s="340"/>
      <c r="C9" s="341"/>
    </row>
    <row r="10" spans="1:7" s="246" customFormat="1" ht="18" x14ac:dyDescent="0.25">
      <c r="A10" s="261"/>
      <c r="B10" s="260"/>
      <c r="C10" s="262"/>
    </row>
    <row r="11" spans="1:7" s="86" customFormat="1" ht="15" x14ac:dyDescent="0.25">
      <c r="A11" s="247" t="s">
        <v>269</v>
      </c>
      <c r="B11" s="248" t="s">
        <v>249</v>
      </c>
      <c r="C11" s="249" t="s">
        <v>140</v>
      </c>
    </row>
    <row r="12" spans="1:7" ht="14.25" x14ac:dyDescent="0.2">
      <c r="A12" s="250" t="s">
        <v>257</v>
      </c>
      <c r="B12" s="251" t="s">
        <v>250</v>
      </c>
      <c r="C12" s="175"/>
    </row>
    <row r="13" spans="1:7" ht="14.25" x14ac:dyDescent="0.2">
      <c r="A13" s="174" t="s">
        <v>258</v>
      </c>
      <c r="B13" s="252" t="s">
        <v>255</v>
      </c>
      <c r="C13" s="253">
        <f>0.0362741*C12^0.2336249</f>
        <v>0</v>
      </c>
    </row>
    <row r="14" spans="1:7" ht="14.25" x14ac:dyDescent="0.2">
      <c r="A14" s="174" t="s">
        <v>259</v>
      </c>
      <c r="B14" s="252" t="s">
        <v>256</v>
      </c>
      <c r="C14" s="254">
        <f>C12*C13/1000</f>
        <v>0</v>
      </c>
    </row>
    <row r="15" spans="1:7" ht="14.25" x14ac:dyDescent="0.2">
      <c r="A15" s="174" t="s">
        <v>265</v>
      </c>
      <c r="B15" s="252" t="s">
        <v>251</v>
      </c>
      <c r="C15" s="255">
        <f>(C14*30)</f>
        <v>0</v>
      </c>
    </row>
    <row r="16" spans="1:7" ht="14.25" x14ac:dyDescent="0.2">
      <c r="A16" s="174" t="s">
        <v>261</v>
      </c>
      <c r="B16" s="252" t="s">
        <v>92</v>
      </c>
      <c r="C16" s="258"/>
    </row>
    <row r="17" spans="1:3" ht="14.25" x14ac:dyDescent="0.2">
      <c r="A17" s="174" t="s">
        <v>260</v>
      </c>
      <c r="B17" s="252" t="s">
        <v>256</v>
      </c>
      <c r="C17" s="254">
        <f>IFERROR(C14*7/C16,0)</f>
        <v>0</v>
      </c>
    </row>
    <row r="18" spans="1:3" ht="14.25" x14ac:dyDescent="0.2">
      <c r="A18" s="250" t="s">
        <v>252</v>
      </c>
      <c r="B18" s="252" t="s">
        <v>253</v>
      </c>
      <c r="C18" s="194">
        <v>500</v>
      </c>
    </row>
    <row r="19" spans="1:3" ht="14.25" x14ac:dyDescent="0.2">
      <c r="A19" s="174" t="s">
        <v>266</v>
      </c>
      <c r="B19" s="252"/>
      <c r="C19" s="175"/>
    </row>
    <row r="20" spans="1:3" ht="14.25" x14ac:dyDescent="0.2">
      <c r="A20" s="250" t="s">
        <v>267</v>
      </c>
      <c r="B20" s="252" t="s">
        <v>254</v>
      </c>
      <c r="C20" s="175"/>
    </row>
    <row r="21" spans="1:3" ht="14.25" x14ac:dyDescent="0.2">
      <c r="A21" s="174" t="s">
        <v>262</v>
      </c>
      <c r="B21" s="252" t="s">
        <v>251</v>
      </c>
      <c r="C21" s="194">
        <f>IF(AND(C20&gt;=15,C19=1),5.8,C20/2)</f>
        <v>0</v>
      </c>
    </row>
    <row r="22" spans="1:3" ht="14.25" x14ac:dyDescent="0.2">
      <c r="A22" s="250" t="s">
        <v>263</v>
      </c>
      <c r="B22" s="252"/>
      <c r="C22" s="254">
        <f>IFERROR(C17/C21,0)</f>
        <v>0</v>
      </c>
    </row>
    <row r="23" spans="1:3" ht="14.25" x14ac:dyDescent="0.2">
      <c r="A23" s="250" t="s">
        <v>270</v>
      </c>
      <c r="B23" s="252"/>
      <c r="C23" s="263"/>
    </row>
    <row r="24" spans="1:3" ht="15" thickBot="1" x14ac:dyDescent="0.25">
      <c r="A24" s="256" t="s">
        <v>264</v>
      </c>
      <c r="B24" s="257"/>
      <c r="C24" s="259">
        <f>IFERROR(C22/C23,0)</f>
        <v>0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1. Coleta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'2.Encargos Sociais'!Area_de_impressao</vt:lpstr>
    </vt:vector>
  </TitlesOfParts>
  <Company>dmlu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user24</cp:lastModifiedBy>
  <cp:lastPrinted>2017-08-10T17:29:27Z</cp:lastPrinted>
  <dcterms:created xsi:type="dcterms:W3CDTF">2000-12-13T10:02:50Z</dcterms:created>
  <dcterms:modified xsi:type="dcterms:W3CDTF">2022-02-15T12:41:11Z</dcterms:modified>
</cp:coreProperties>
</file>